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<sst xmlns="http://schemas.openxmlformats.org/spreadsheetml/2006/main" count="515" uniqueCount="298">
  <si>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</si>
  <si>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</si>
  <si>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</si>
  <si>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</si>
  <si>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</si>
  <si>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</si>
  <si>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</si>
  <si>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</si>
  <si>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</si>
  <si>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</si>
  <si>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</si>
  <si>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</si>
  <si>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</si>
  <si>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</si>
  <si>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</si>
  <si>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</si>
  <si>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</si>
  <si>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</si>
  <si>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</si>
  <si>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</si>
  <si>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</si>
  <si>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</si>
  <si>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</si>
  <si>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</si>
  <si>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</si>
  <si>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</si>
  <si>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</si>
  <si>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</si>
  <si>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</si>
  <si>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</si>
  <si>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</si>
  <si>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</si>
  <si>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</si>
  <si>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</si>
  <si>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</si>
  <si>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</si>
  <si>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</si>
  <si>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</si>
  <si>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</si>
  <si>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</si>
  <si>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</si>
  <si>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</si>
  <si>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</si>
  <si>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</si>
  <si>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</si>
  <si>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</si>
  <si>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</si>
  <si>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</si>
  <si>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</si>
  <si>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</si>
  <si>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</si>
  <si>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</si>
  <si>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</si>
  <si>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</si>
  <si>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</si>
  <si>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</si>
  <si>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</si>
  <si>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</si>
  <si>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</si>
  <si>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</si>
  <si>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</si>
  <si>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</si>
  <si>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</si>
  <si>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</si>
  <si>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</si>
  <si>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</si>
  <si>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</si>
  <si>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</si>
  <si>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</si>
  <si>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</si>
  <si>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</si>
  <si>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</si>
  <si>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</si>
  <si>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</si>
  <si>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</si>
  <si>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</si>
  <si>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</si>
  <si>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</si>
  <si>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</si>
  <si>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</si>
  <si>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</si>
  <si>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</si>
  <si>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</si>
  <si>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</si>
  <si>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</si>
  <si>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</si>
  <si>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</si>
  <si>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</si>
  <si>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</si>
  <si>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</si>
  <si>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</si>
  <si>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</si>
  <si>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</si>
  <si>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</si>
  <si>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</si>
  <si>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</si>
  <si>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</si>
  <si>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</si>
  <si>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</si>
  <si>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</si>
  <si>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</si>
  <si>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</si>
  <si>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</si>
  <si>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</si>
  <si>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</si>
  <si>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</si>
  <si>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</si>
  <si>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</si>
  <si>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</si>
  <si>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</si>
  <si>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</si>
  <si>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</si>
  <si>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</si>
  <si>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</si>
  <si>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</si>
  <si>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</si>
  <si>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</si>
  <si>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</si>
  <si>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</si>
  <si>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</si>
  <si>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</si>
  <si>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</si>
  <si>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</si>
  <si>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</si>
  <si>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</si>
  <si>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</si>
  <si>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</si>
  <si>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</si>
  <si>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</si>
  <si>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</si>
  <si>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</si>
  <si>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</si>
  <si>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</si>
  <si>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</si>
  <si>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</si>
  <si>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</si>
  <si>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</si>
  <si>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</si>
  <si>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</si>
  <si>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</si>
  <si>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</si>
  <si>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</si>
  <si>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</si>
  <si>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</si>
  <si>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</si>
  <si>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</si>
  <si>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</si>
  <si>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</si>
  <si>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</si>
  <si>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</si>
  <si>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</si>
  <si>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</si>
  <si>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</si>
  <si>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</si>
  <si>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</si>
  <si>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</si>
  <si>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</si>
  <si>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</si>
  <si>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</si>
  <si>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</si>
  <si>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</si>
  <si>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</si>
  <si>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</si>
  <si>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</si>
  <si>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</si>
  <si>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</si>
  <si>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</si>
  <si>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</si>
  <si>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</si>
  <si>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</si>
  <si>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</si>
  <si>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</si>
  <si>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</si>
  <si>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</si>
  <si>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</si>
  <si>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</si>
  <si>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</si>
  <si>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</si>
  <si>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</si>
  <si>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</si>
  <si>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</si>
  <si>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</si>
  <si>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</si>
  <si>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</si>
  <si>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</si>
  <si>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</si>
  <si>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</si>
  <si>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</si>
  <si>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</si>
  <si>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</si>
  <si>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</si>
  <si>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</si>
  <si>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</si>
  <si>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</si>
  <si>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</si>
  <si>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</si>
  <si>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</si>
  <si>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</si>
  <si>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</si>
  <si>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</si>
  <si>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</si>
  <si>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</si>
  <si>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</si>
  <si>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</si>
  <si>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</si>
  <si>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</si>
  <si>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</si>
  <si>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</si>
  <si>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</si>
  <si>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</si>
  <si>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</si>
  <si>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</si>
  <si>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</si>
  <si>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</si>
  <si>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</si>
  <si>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</si>
  <si>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</si>
  <si>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</si>
  <si>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</si>
  <si>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</si>
  <si>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</si>
  <si>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</si>
  <si>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</si>
  <si>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</si>
  <si>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</si>
  <si>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</si>
  <si>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</si>
  <si>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</si>
  <si>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</si>
  <si>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</si>
  <si>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</si>
  <si>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</si>
  <si>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</si>
  <si>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</si>
  <si>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</si>
  <si>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</si>
  <si>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</si>
  <si>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</si>
  <si>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</si>
  <si>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</si>
  <si>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</si>
  <si>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</si>
  <si>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</si>
  <si>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</si>
  <si>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</si>
  <si>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</si>
  <si>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</si>
  <si>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</si>
  <si>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</si>
  <si>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</si>
  <si>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</si>
  <si>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</si>
  <si>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</si>
  <si>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</si>
  <si>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</si>
  <si>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</si>
  <si>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</si>
  <si>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</si>
  <si>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</si>
  <si>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</si>
  <si>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</si>
  <si>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</si>
  <si>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</si>
  <si>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</si>
  <si>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</si>
  <si>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</si>
  <si>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</si>
  <si>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</si>
  <si>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</si>
  <si>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</si>
  <si>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</si>
  <si>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</si>
  <si>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</si>
  <si>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</si>
  <si>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</si>
  <si>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</si>
  <si>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</si>
  <si>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</si>
  <si>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</si>
  <si>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</si>
  <si>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</si>
  <si>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</si>
  <si>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</si>
  <si>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</si>
  <si>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</si>
  <si>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</si>
  <si>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</si>
  <si>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</si>
  <si>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</si>
  <si>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</si>
  <si>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</si>
  <si>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</si>
  <si>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</si>
  <si>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</si>
  <si>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2018</t>
  </si>
  <si>
    <t>Anno
2019</t>
  </si>
  <si>
    <t>VARIAZIONE 2019/2018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</si>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</sst>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6" fillId="27" borderId="7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7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5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7" fillId="8" borderId="0" xfId="91" applyNumberFormat="1" applyFont="1" applyFill="1" applyBorder="1" applyAlignment="1">
      <alignment horizontal="center" vertical="center"/>
      <protection/>
    </xf>
    <xf numFmtId="49" fontId="37" fillId="8" borderId="0" xfId="91" applyNumberFormat="1" applyFont="1" applyFill="1" applyBorder="1" applyAlignment="1">
      <alignment vertical="center"/>
      <protection/>
    </xf>
    <xf numFmtId="49" fontId="37" fillId="8" borderId="26" xfId="91" applyNumberFormat="1" applyFont="1" applyFill="1" applyBorder="1" applyAlignment="1">
      <alignment vertical="center"/>
      <protection/>
    </xf>
    <xf numFmtId="49" fontId="37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7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43" fontId="28" fillId="8" borderId="0" xfId="82" applyFont="1" applyFill="1" applyAlignment="1">
      <alignment vertical="center"/>
    </xf>
    <xf numFmtId="43" fontId="23" fillId="8" borderId="16" xfId="82" applyFont="1" applyFill="1" applyBorder="1" applyAlignment="1">
      <alignment horizontal="center" vertical="center" wrapText="1"/>
    </xf>
    <xf numFmtId="43" fontId="24" fillId="8" borderId="17" xfId="82" applyFont="1" applyFill="1" applyBorder="1" applyAlignment="1">
      <alignment horizontal="center" vertical="center"/>
    </xf>
    <xf numFmtId="43" fontId="24" fillId="8" borderId="14" xfId="82" applyFont="1" applyFill="1" applyBorder="1" applyAlignment="1">
      <alignment horizontal="center" vertical="center"/>
    </xf>
    <xf numFmtId="43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4" fontId="34" fillId="0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40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0" fontId="26" fillId="8" borderId="0" xfId="90" applyFont="1" applyFill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3" fontId="25" fillId="8" borderId="17" xfId="82" applyFont="1" applyFill="1" applyBorder="1" applyAlignment="1">
      <alignment horizontal="center" vertical="center"/>
    </xf>
    <xf numFmtId="43" fontId="27" fillId="8" borderId="54" xfId="82" applyFont="1" applyFill="1" applyBorder="1" applyAlignment="1">
      <alignment horizontal="center" vertical="center"/>
    </xf>
    <xf numFmtId="43" fontId="27" fillId="8" borderId="15" xfId="82" applyFont="1" applyFill="1" applyBorder="1" applyAlignment="1">
      <alignment horizontal="center" vertical="center"/>
    </xf>
    <xf numFmtId="43" fontId="27" fillId="8" borderId="55" xfId="82" applyFont="1" applyFill="1" applyBorder="1" applyAlignment="1">
      <alignment horizontal="center" vertical="center"/>
    </xf>
    <xf numFmtId="43" fontId="24" fillId="8" borderId="15" xfId="82" applyFont="1" applyFill="1" applyBorder="1" applyAlignment="1">
      <alignment horizontal="left" vertical="center" wrapText="1"/>
    </xf>
    <xf numFmtId="43" fontId="24" fillId="8" borderId="51" xfId="82" applyFont="1" applyFill="1" applyBorder="1" applyAlignment="1">
      <alignment horizontal="left" vertical="center" wrapText="1"/>
    </xf>
    <xf numFmtId="43" fontId="24" fillId="8" borderId="17" xfId="82" applyFont="1" applyFill="1" applyBorder="1" applyAlignment="1">
      <alignment horizontal="left" wrapText="1"/>
    </xf>
    <xf numFmtId="43" fontId="24" fillId="8" borderId="59" xfId="82" applyFont="1" applyFill="1" applyBorder="1" applyAlignment="1">
      <alignment horizontal="left" wrapText="1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  <xf numFmtId="49" fontId="35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6" fillId="0" borderId="0" xfId="91" applyFont="1" applyFill="1" applyAlignment="1">
      <alignment vertic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O266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J18" sqref="J18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295" t="s">
        <v>0</v>
      </c>
      <c r="I2" s="295"/>
      <c r="J2" s="295"/>
      <c r="K2" s="295"/>
      <c r="L2" s="296"/>
      <c r="M2" s="279" t="s">
        <v>283</v>
      </c>
      <c r="N2" s="280"/>
    </row>
    <row r="3" spans="2:14" s="1" customFormat="1" ht="21" customHeight="1" thickBot="1">
      <c r="B3" s="2"/>
      <c r="C3" s="3"/>
      <c r="D3" s="3"/>
      <c r="E3" s="3"/>
      <c r="F3" s="3"/>
      <c r="G3" s="3"/>
      <c r="H3" s="283" t="s">
        <v>288</v>
      </c>
      <c r="I3" s="283"/>
      <c r="J3" s="283"/>
      <c r="K3" s="283"/>
      <c r="L3" s="284"/>
      <c r="M3" s="281"/>
      <c r="N3" s="282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89" t="s">
        <v>290</v>
      </c>
      <c r="C5" s="290"/>
      <c r="D5" s="290"/>
      <c r="E5" s="290"/>
      <c r="F5" s="290"/>
      <c r="G5" s="290"/>
      <c r="H5" s="290"/>
      <c r="I5" s="290"/>
      <c r="J5" s="291"/>
      <c r="K5" s="287" t="s">
        <v>295</v>
      </c>
      <c r="L5" s="287" t="s">
        <v>294</v>
      </c>
      <c r="M5" s="285" t="s">
        <v>296</v>
      </c>
      <c r="N5" s="286"/>
    </row>
    <row r="6" spans="2:14" ht="20.25" customHeight="1">
      <c r="B6" s="292"/>
      <c r="C6" s="293"/>
      <c r="D6" s="293"/>
      <c r="E6" s="293"/>
      <c r="F6" s="293"/>
      <c r="G6" s="293"/>
      <c r="H6" s="293"/>
      <c r="I6" s="293"/>
      <c r="J6" s="294"/>
      <c r="K6" s="288"/>
      <c r="L6" s="288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8">
        <f>SUM(K9:K13)</f>
        <v>12778530</v>
      </c>
      <c r="L8" s="248">
        <f>SUM(L9:L13)</f>
        <v>13429953</v>
      </c>
      <c r="M8" s="26">
        <f aca="true" t="shared" si="0" ref="M8:M27">K8-L8</f>
        <v>-651423</v>
      </c>
      <c r="N8" s="27">
        <f aca="true" t="shared" si="1" ref="N8:N27">IF(L8=0,"-    ",M8/L8)</f>
        <v>-0.048505233041396346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1492104</v>
      </c>
      <c r="L11" s="35">
        <v>2322328</v>
      </c>
      <c r="M11" s="36">
        <f t="shared" si="0"/>
        <v>-830224</v>
      </c>
      <c r="N11" s="37">
        <f t="shared" si="1"/>
        <v>-0.3574964432242129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142942</v>
      </c>
      <c r="L12" s="35">
        <v>142942</v>
      </c>
      <c r="M12" s="36">
        <f t="shared" si="0"/>
        <v>0</v>
      </c>
      <c r="N12" s="37">
        <f t="shared" si="1"/>
        <v>0</v>
      </c>
    </row>
    <row r="13" spans="2:14" s="1" customFormat="1" ht="27" customHeight="1" outlineLevel="1"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11143484</v>
      </c>
      <c r="L13" s="35">
        <v>10964683</v>
      </c>
      <c r="M13" s="36">
        <f t="shared" si="0"/>
        <v>178801</v>
      </c>
      <c r="N13" s="37">
        <f t="shared" si="1"/>
        <v>0.0163069921857294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8">
        <f>K15+K18+SUM(K21:K27)</f>
        <v>917356964</v>
      </c>
      <c r="L14" s="248">
        <f>L15+L18+SUM(L21:L27)</f>
        <v>943835639</v>
      </c>
      <c r="M14" s="26">
        <f t="shared" si="0"/>
        <v>-26478675</v>
      </c>
      <c r="N14" s="27">
        <f t="shared" si="1"/>
        <v>-0.028054328429528607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9">
        <f>SUM(K16:K17)</f>
        <v>38874942</v>
      </c>
      <c r="L15" s="249">
        <f>SUM(L16:L17)</f>
        <v>35540191</v>
      </c>
      <c r="M15" s="36">
        <f t="shared" si="0"/>
        <v>3334751</v>
      </c>
      <c r="N15" s="37">
        <f t="shared" si="1"/>
        <v>0.09383041863787395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2736807</v>
      </c>
      <c r="L16" s="42">
        <v>2036806</v>
      </c>
      <c r="M16" s="43">
        <f t="shared" si="0"/>
        <v>700001</v>
      </c>
      <c r="N16" s="44">
        <f t="shared" si="1"/>
        <v>0.3436758336336401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36138135</v>
      </c>
      <c r="L17" s="42">
        <v>33503385</v>
      </c>
      <c r="M17" s="43">
        <f t="shared" si="0"/>
        <v>2634750</v>
      </c>
      <c r="N17" s="44">
        <f t="shared" si="1"/>
        <v>0.07864130743803947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9">
        <f>SUM(K19:K20)</f>
        <v>814602786</v>
      </c>
      <c r="L18" s="249">
        <f>SUM(L19:L20)</f>
        <v>847242587</v>
      </c>
      <c r="M18" s="36">
        <f t="shared" si="0"/>
        <v>-32639801</v>
      </c>
      <c r="N18" s="37">
        <f t="shared" si="1"/>
        <v>-0.03852474073048455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19660991</v>
      </c>
      <c r="L19" s="42">
        <v>20661893</v>
      </c>
      <c r="M19" s="43">
        <f t="shared" si="0"/>
        <v>-1000902</v>
      </c>
      <c r="N19" s="44">
        <f t="shared" si="1"/>
        <v>-0.0484419312402789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794941795</v>
      </c>
      <c r="L20" s="42">
        <v>826580694</v>
      </c>
      <c r="M20" s="43">
        <f t="shared" si="0"/>
        <v>-31638899</v>
      </c>
      <c r="N20" s="44">
        <f t="shared" si="1"/>
        <v>-0.03827684245429521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17770123</v>
      </c>
      <c r="L21" s="35">
        <v>19088713</v>
      </c>
      <c r="M21" s="36">
        <f t="shared" si="0"/>
        <v>-1318590</v>
      </c>
      <c r="N21" s="37">
        <f t="shared" si="1"/>
        <v>-0.06907694615137228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15239306</v>
      </c>
      <c r="L22" s="35">
        <v>12124132</v>
      </c>
      <c r="M22" s="36">
        <f t="shared" si="0"/>
        <v>3115174</v>
      </c>
      <c r="N22" s="37">
        <f t="shared" si="1"/>
        <v>0.2569399607328591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3517620</v>
      </c>
      <c r="L23" s="35">
        <v>4441251</v>
      </c>
      <c r="M23" s="36">
        <f t="shared" si="0"/>
        <v>-923631</v>
      </c>
      <c r="N23" s="37">
        <f t="shared" si="1"/>
        <v>-0.20796640406047756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150971</v>
      </c>
      <c r="L24" s="35">
        <v>202542</v>
      </c>
      <c r="M24" s="36">
        <f t="shared" si="0"/>
        <v>-51571</v>
      </c>
      <c r="N24" s="37">
        <f t="shared" si="1"/>
        <v>-0.2546187951140998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215650</v>
      </c>
      <c r="L26" s="35">
        <v>334249</v>
      </c>
      <c r="M26" s="36">
        <f t="shared" si="0"/>
        <v>-118599</v>
      </c>
      <c r="N26" s="37">
        <f t="shared" si="1"/>
        <v>-0.3548223031332928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26985566</v>
      </c>
      <c r="L27" s="35">
        <v>24861974</v>
      </c>
      <c r="M27" s="36">
        <f t="shared" si="0"/>
        <v>2123592</v>
      </c>
      <c r="N27" s="37">
        <f t="shared" si="1"/>
        <v>0.08541526107299445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297" t="s">
        <v>284</v>
      </c>
      <c r="E29" s="297"/>
      <c r="F29" s="297"/>
      <c r="G29" s="297"/>
      <c r="H29" s="297"/>
      <c r="I29" s="25"/>
      <c r="J29" s="25"/>
      <c r="K29" s="248">
        <f>K30+K35</f>
        <v>724344</v>
      </c>
      <c r="L29" s="248">
        <f>L30+L35</f>
        <v>1236599</v>
      </c>
      <c r="M29" s="26">
        <f aca="true" t="shared" si="2" ref="M29:M38">K29-L29</f>
        <v>-512255</v>
      </c>
      <c r="N29" s="27">
        <f aca="true" t="shared" si="3" ref="N29:N38">IF(L29=0,"-    ",M29/L29)</f>
        <v>-0.41424503820559455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4">
        <f>SUM(I31:I34)</f>
        <v>0</v>
      </c>
      <c r="J30" s="35">
        <f>SUM(J31:J34)</f>
        <v>0</v>
      </c>
      <c r="K30" s="249">
        <f>SUM(K31:K34)</f>
        <v>0</v>
      </c>
      <c r="L30" s="249">
        <f>SUM(L31:L34)</f>
        <v>512255</v>
      </c>
      <c r="M30" s="36">
        <f t="shared" si="2"/>
        <v>-512255</v>
      </c>
      <c r="N30" s="37">
        <f t="shared" si="3"/>
        <v>-1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5">
        <v>0</v>
      </c>
      <c r="J34" s="256">
        <v>0</v>
      </c>
      <c r="K34" s="42">
        <f>I34+J34</f>
        <v>0</v>
      </c>
      <c r="L34" s="42">
        <v>512255</v>
      </c>
      <c r="M34" s="43">
        <f t="shared" si="2"/>
        <v>-512255</v>
      </c>
      <c r="N34" s="44">
        <f t="shared" si="3"/>
        <v>-1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77"/>
      <c r="I35" s="277"/>
      <c r="J35" s="278"/>
      <c r="K35" s="250">
        <f>SUM(K36:K37)</f>
        <v>724344</v>
      </c>
      <c r="L35" s="250">
        <f>SUM(L36:L37)</f>
        <v>724344</v>
      </c>
      <c r="M35" s="43">
        <f t="shared" si="2"/>
        <v>0</v>
      </c>
      <c r="N35" s="44">
        <f t="shared" si="3"/>
        <v>0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724344</v>
      </c>
      <c r="L36" s="42">
        <v>724344</v>
      </c>
      <c r="M36" s="43">
        <f t="shared" si="2"/>
        <v>0</v>
      </c>
      <c r="N36" s="44">
        <f t="shared" si="3"/>
        <v>0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930859838</v>
      </c>
      <c r="L38" s="92">
        <f>L8+L14+L29</f>
        <v>958502191</v>
      </c>
      <c r="M38" s="93">
        <f t="shared" si="2"/>
        <v>-27642353</v>
      </c>
      <c r="N38" s="94">
        <f t="shared" si="3"/>
        <v>-0.028839113003133448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8">
        <f>SUM(K42:K45)</f>
        <v>44290265</v>
      </c>
      <c r="L41" s="248">
        <f>SUM(L42:L45)</f>
        <v>41447939</v>
      </c>
      <c r="M41" s="26">
        <f>K41-L41</f>
        <v>2842326</v>
      </c>
      <c r="N41" s="27">
        <f>IF(L41=0,"-    ",M41/L41)</f>
        <v>0.06857581024716332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43892799</v>
      </c>
      <c r="L42" s="35">
        <v>40861877</v>
      </c>
      <c r="M42" s="36">
        <f>K42-L42</f>
        <v>3030922</v>
      </c>
      <c r="N42" s="37">
        <f>IF(L42=0,"-    ",M42/L42)</f>
        <v>0.07417481091238173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397466</v>
      </c>
      <c r="L43" s="35">
        <v>586062</v>
      </c>
      <c r="M43" s="36">
        <f>K43-L43</f>
        <v>-188596</v>
      </c>
      <c r="N43" s="37">
        <f>IF(L43=0,"-    ",M43/L43)</f>
        <v>-0.3218021301500524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297" t="s">
        <v>285</v>
      </c>
      <c r="E47" s="297"/>
      <c r="F47" s="297"/>
      <c r="G47" s="297"/>
      <c r="H47" s="298"/>
      <c r="I47" s="25"/>
      <c r="J47" s="25"/>
      <c r="K47" s="248">
        <f>K48+K59+K72+K73+K76+K77+K78</f>
        <v>978685496</v>
      </c>
      <c r="L47" s="248">
        <f>L48+L59+L72+L73+L76+L77+L78</f>
        <v>971656081</v>
      </c>
      <c r="M47" s="26">
        <f>K47-L47</f>
        <v>7029415</v>
      </c>
      <c r="N47" s="27">
        <f>IF(L47=0,"-    ",M47/L47)</f>
        <v>0.007234468180104973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2051545</v>
      </c>
      <c r="J48" s="35">
        <f>J49+J52+J53+J58</f>
        <v>0</v>
      </c>
      <c r="K48" s="249">
        <f>K49+K52+K53+K58</f>
        <v>2051545</v>
      </c>
      <c r="L48" s="249">
        <f>L49+L52+L53+L58</f>
        <v>2075191</v>
      </c>
      <c r="M48" s="36">
        <f>K48-L48</f>
        <v>-23646</v>
      </c>
      <c r="N48" s="37">
        <f>IF(L48=0,"-    ",M48/L48)</f>
        <v>-0.011394613796995072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50">
        <f>SUM(K50:K51)</f>
        <v>0</v>
      </c>
      <c r="L49" s="250">
        <f>SUM(L50:L51)</f>
        <v>0</v>
      </c>
      <c r="M49" s="43">
        <f>K49-L49</f>
        <v>0</v>
      </c>
      <c r="N49" s="44" t="str">
        <f>IF(L49=0,"-    ",M49/L49)</f>
        <v>-    </v>
      </c>
    </row>
    <row r="50" spans="2:14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4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/>
      <c r="J52" s="42"/>
      <c r="K52" s="42">
        <f>+I52+J52</f>
        <v>0</v>
      </c>
      <c r="L52" s="42">
        <v>0</v>
      </c>
      <c r="M52" s="36">
        <f aca="true" t="shared" si="4" ref="M52:M58">K52-L52</f>
        <v>0</v>
      </c>
      <c r="N52" s="37" t="str">
        <f aca="true" t="shared" si="5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50">
        <f>SUM(K54:K57)</f>
        <v>0</v>
      </c>
      <c r="L53" s="250">
        <f>SUM(L54:L57)</f>
        <v>0</v>
      </c>
      <c r="M53" s="36">
        <f t="shared" si="4"/>
        <v>0</v>
      </c>
      <c r="N53" s="37" t="str">
        <f t="shared" si="5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2051545</v>
      </c>
      <c r="J58" s="42">
        <v>0</v>
      </c>
      <c r="K58" s="42">
        <f>+I58+J58</f>
        <v>2051545</v>
      </c>
      <c r="L58" s="42">
        <v>2075191</v>
      </c>
      <c r="M58" s="36">
        <f t="shared" si="4"/>
        <v>-23646</v>
      </c>
      <c r="N58" s="37">
        <f t="shared" si="5"/>
        <v>-0.011394613796995072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932291681</v>
      </c>
      <c r="J59" s="35">
        <f>J60+J67</f>
        <v>0</v>
      </c>
      <c r="K59" s="249">
        <f>K60+K67</f>
        <v>932291681</v>
      </c>
      <c r="L59" s="249">
        <f>L60+L67</f>
        <v>923253150</v>
      </c>
      <c r="M59" s="36">
        <f aca="true" t="shared" si="6" ref="M59:M87">K59-L59</f>
        <v>9038531</v>
      </c>
      <c r="N59" s="37">
        <f aca="true" t="shared" si="7" ref="N59:N87">IF(L59=0,"-    ",M59/L59)</f>
        <v>0.009789872907555203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836012697</v>
      </c>
      <c r="J60" s="42">
        <f>SUM(J61,J66)</f>
        <v>0</v>
      </c>
      <c r="K60" s="250">
        <f>SUM(K61,K66)</f>
        <v>836012697</v>
      </c>
      <c r="L60" s="250">
        <f>SUM(L61,L66)</f>
        <v>835561254</v>
      </c>
      <c r="M60" s="43">
        <f>K60-L60</f>
        <v>451443</v>
      </c>
      <c r="N60" s="44">
        <f t="shared" si="7"/>
        <v>0.0005402871397385307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835849345</v>
      </c>
      <c r="J61" s="35">
        <f>SUM(J62:J65)</f>
        <v>0</v>
      </c>
      <c r="K61" s="249">
        <f>SUM(K62:K65)</f>
        <v>835849345</v>
      </c>
      <c r="L61" s="249">
        <f>SUM(L62:L65)</f>
        <v>835397902</v>
      </c>
      <c r="M61" s="36">
        <f t="shared" si="6"/>
        <v>451443</v>
      </c>
      <c r="N61" s="37">
        <f t="shared" si="7"/>
        <v>0.0005403927863826501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625302003</v>
      </c>
      <c r="J62" s="42">
        <v>0</v>
      </c>
      <c r="K62" s="42">
        <f>+I62+J62</f>
        <v>625302003</v>
      </c>
      <c r="L62" s="42">
        <v>647330264</v>
      </c>
      <c r="M62" s="43">
        <f t="shared" si="6"/>
        <v>-22028261</v>
      </c>
      <c r="N62" s="44">
        <f t="shared" si="7"/>
        <v>-0.034029400794398826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4914973</v>
      </c>
      <c r="J63" s="42">
        <v>0</v>
      </c>
      <c r="K63" s="42">
        <f>+I63+J63</f>
        <v>4914973</v>
      </c>
      <c r="L63" s="42">
        <v>0</v>
      </c>
      <c r="M63" s="43">
        <f t="shared" si="6"/>
        <v>4914973</v>
      </c>
      <c r="N63" s="44" t="str">
        <f t="shared" si="7"/>
        <v>-    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/>
      <c r="J64" s="42"/>
      <c r="K64" s="42">
        <f>+I64+J64</f>
        <v>0</v>
      </c>
      <c r="L64" s="42">
        <v>0</v>
      </c>
      <c r="M64" s="43">
        <f t="shared" si="6"/>
        <v>0</v>
      </c>
      <c r="N64" s="44" t="str">
        <f t="shared" si="7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4">
        <v>205632369</v>
      </c>
      <c r="J65" s="254">
        <v>0</v>
      </c>
      <c r="K65" s="42">
        <f>+I65+J65</f>
        <v>205632369</v>
      </c>
      <c r="L65" s="42">
        <v>188067638</v>
      </c>
      <c r="M65" s="257">
        <f t="shared" si="6"/>
        <v>17564731</v>
      </c>
      <c r="N65" s="258">
        <f t="shared" si="7"/>
        <v>0.09339581858309934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163352</v>
      </c>
      <c r="J66" s="35"/>
      <c r="K66" s="35">
        <f>+I66+J66</f>
        <v>163352</v>
      </c>
      <c r="L66" s="35">
        <v>163352</v>
      </c>
      <c r="M66" s="36">
        <f t="shared" si="6"/>
        <v>0</v>
      </c>
      <c r="N66" s="37">
        <f t="shared" si="7"/>
        <v>0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96278984</v>
      </c>
      <c r="J67" s="42">
        <f>SUM(J68:J71)</f>
        <v>0</v>
      </c>
      <c r="K67" s="250">
        <f>SUM(K68:K71)</f>
        <v>96278984</v>
      </c>
      <c r="L67" s="250">
        <f>SUM(L68:L71)</f>
        <v>87691896</v>
      </c>
      <c r="M67" s="43">
        <f t="shared" si="6"/>
        <v>8587088</v>
      </c>
      <c r="N67" s="44">
        <f t="shared" si="7"/>
        <v>0.09792339305789442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94963694</v>
      </c>
      <c r="J68" s="35"/>
      <c r="K68" s="35">
        <f>+I68+J68</f>
        <v>94963694</v>
      </c>
      <c r="L68" s="35">
        <v>87691896</v>
      </c>
      <c r="M68" s="36">
        <f t="shared" si="6"/>
        <v>7271798</v>
      </c>
      <c r="N68" s="37">
        <f t="shared" si="7"/>
        <v>0.082924401588945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/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1315290</v>
      </c>
      <c r="J70" s="35"/>
      <c r="K70" s="35">
        <f>+I70+J70</f>
        <v>1315290</v>
      </c>
      <c r="L70" s="35">
        <v>0</v>
      </c>
      <c r="M70" s="36">
        <f t="shared" si="6"/>
        <v>1315290</v>
      </c>
      <c r="N70" s="37" t="str">
        <f t="shared" si="7"/>
        <v>-    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/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7365482</v>
      </c>
      <c r="J72" s="35"/>
      <c r="K72" s="35">
        <f>+I72+J72</f>
        <v>7365482</v>
      </c>
      <c r="L72" s="35">
        <v>5188287</v>
      </c>
      <c r="M72" s="36">
        <f t="shared" si="6"/>
        <v>2177195</v>
      </c>
      <c r="N72" s="37">
        <f t="shared" si="7"/>
        <v>0.41963657754476574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297</v>
      </c>
      <c r="J73" s="35" t="s">
        <v>297</v>
      </c>
      <c r="K73" s="249">
        <f>SUM(K74:K75)</f>
        <v>2508850</v>
      </c>
      <c r="L73" s="249">
        <f>SUM(L74:L75)</f>
        <v>5537834</v>
      </c>
      <c r="M73" s="36">
        <f t="shared" si="6"/>
        <v>-3028984</v>
      </c>
      <c r="N73" s="37">
        <f t="shared" si="7"/>
        <v>-0.5469618627066105</v>
      </c>
    </row>
    <row r="74" spans="2:14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1726968</v>
      </c>
      <c r="J74" s="42">
        <v>0</v>
      </c>
      <c r="K74" s="42">
        <f>+I74+J74</f>
        <v>1726968</v>
      </c>
      <c r="L74" s="42">
        <v>4533596</v>
      </c>
      <c r="M74" s="43">
        <f t="shared" si="6"/>
        <v>-2806628</v>
      </c>
      <c r="N74" s="44">
        <f t="shared" si="7"/>
        <v>-0.6190732478147589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781882</v>
      </c>
      <c r="J75" s="42">
        <v>0</v>
      </c>
      <c r="K75" s="42">
        <f>+I75+J75</f>
        <v>781882</v>
      </c>
      <c r="L75" s="42">
        <v>1004238</v>
      </c>
      <c r="M75" s="43">
        <f t="shared" si="6"/>
        <v>-222356</v>
      </c>
      <c r="N75" s="44">
        <f t="shared" si="7"/>
        <v>-0.22141763207526502</v>
      </c>
    </row>
    <row r="76" spans="2:14" s="1" customFormat="1" ht="27" customHeight="1">
      <c r="B76" s="28"/>
      <c r="C76" s="55"/>
      <c r="D76" s="30"/>
      <c r="E76" s="62" t="s">
        <v>12</v>
      </c>
      <c r="F76" s="301" t="s">
        <v>211</v>
      </c>
      <c r="G76" s="301"/>
      <c r="H76" s="302"/>
      <c r="I76" s="35">
        <v>7948242</v>
      </c>
      <c r="J76" s="35"/>
      <c r="K76" s="35">
        <f>+I76+J76</f>
        <v>7948242</v>
      </c>
      <c r="L76" s="35">
        <v>6142600</v>
      </c>
      <c r="M76" s="36">
        <f t="shared" si="6"/>
        <v>1805642</v>
      </c>
      <c r="N76" s="37">
        <f t="shared" si="7"/>
        <v>0.293954025982483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362048</v>
      </c>
      <c r="J77" s="35">
        <v>0</v>
      </c>
      <c r="K77" s="35">
        <f>+I77+J77</f>
        <v>362048</v>
      </c>
      <c r="L77" s="35">
        <v>346801</v>
      </c>
      <c r="M77" s="36">
        <f t="shared" si="6"/>
        <v>15247</v>
      </c>
      <c r="N77" s="37">
        <f t="shared" si="7"/>
        <v>0.04396469445013134</v>
      </c>
    </row>
    <row r="78" spans="2:14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f>26157648</f>
        <v>26157648</v>
      </c>
      <c r="J78" s="68">
        <v>0</v>
      </c>
      <c r="K78" s="35">
        <f>+I78+J78</f>
        <v>26157648</v>
      </c>
      <c r="L78" s="35">
        <v>29112218</v>
      </c>
      <c r="M78" s="36">
        <f t="shared" si="6"/>
        <v>-2954570</v>
      </c>
      <c r="N78" s="37">
        <f t="shared" si="7"/>
        <v>-0.101489003689104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6"/>
        <v>0</v>
      </c>
      <c r="N80" s="37" t="str">
        <f t="shared" si="7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6"/>
        <v>0</v>
      </c>
      <c r="N81" s="37" t="str">
        <f t="shared" si="7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8">
        <f>SUM(K83:K86)</f>
        <v>16184834</v>
      </c>
      <c r="L82" s="248">
        <f>SUM(L83:L86)</f>
        <v>43671572</v>
      </c>
      <c r="M82" s="26">
        <f t="shared" si="6"/>
        <v>-27486738</v>
      </c>
      <c r="N82" s="27">
        <f t="shared" si="7"/>
        <v>-0.6293965786255645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124</v>
      </c>
      <c r="M83" s="36">
        <f t="shared" si="6"/>
        <v>-124</v>
      </c>
      <c r="N83" s="37">
        <f t="shared" si="7"/>
        <v>-1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15181191</v>
      </c>
      <c r="L84" s="35">
        <v>41849439</v>
      </c>
      <c r="M84" s="36">
        <f t="shared" si="6"/>
        <v>-26668248</v>
      </c>
      <c r="N84" s="37">
        <f t="shared" si="7"/>
        <v>-0.6372426641131318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/>
      <c r="L85" s="35"/>
      <c r="M85" s="36">
        <f t="shared" si="6"/>
        <v>0</v>
      </c>
      <c r="N85" s="37" t="str">
        <f t="shared" si="7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1003643</v>
      </c>
      <c r="L86" s="35">
        <v>1822009</v>
      </c>
      <c r="M86" s="36">
        <f t="shared" si="6"/>
        <v>-818366</v>
      </c>
      <c r="N86" s="37">
        <f t="shared" si="7"/>
        <v>-0.4491558493948164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1039160595</v>
      </c>
      <c r="L87" s="92">
        <f>L41+L47+L79+L82</f>
        <v>1056775592</v>
      </c>
      <c r="M87" s="93">
        <f t="shared" si="6"/>
        <v>-17614997</v>
      </c>
      <c r="N87" s="94">
        <f t="shared" si="7"/>
        <v>-0.01666862589687821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4788</v>
      </c>
      <c r="M90" s="26">
        <f>K90-L90</f>
        <v>-4788</v>
      </c>
      <c r="N90" s="27">
        <f>IF(L90=0,"-    ",M90/L90)</f>
        <v>-1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140250</v>
      </c>
      <c r="L91" s="25">
        <v>107439</v>
      </c>
      <c r="M91" s="26">
        <f>K91-L91</f>
        <v>32811</v>
      </c>
      <c r="N91" s="27">
        <f>IF(L91=0,"-    ",M91/L91)</f>
        <v>0.30539189679725237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140250</v>
      </c>
      <c r="L92" s="92">
        <f>SUM(L90:L91)</f>
        <v>112227</v>
      </c>
      <c r="M92" s="93">
        <f>K92-L92</f>
        <v>28023</v>
      </c>
      <c r="N92" s="94">
        <f>IF(L92=0,"-    ",M92/L92)</f>
        <v>0.24969927022908925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1970160683</v>
      </c>
      <c r="L94" s="102">
        <f>L38+L87+L92</f>
        <v>2015390010</v>
      </c>
      <c r="M94" s="103">
        <f>K94-L94</f>
        <v>-45229327</v>
      </c>
      <c r="N94" s="104">
        <f>IF(L94=0,"-    ",M94/L94)</f>
        <v>-0.02244197241009446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6730550</v>
      </c>
      <c r="L99" s="25">
        <v>3908447</v>
      </c>
      <c r="M99" s="26">
        <f>K99-L99</f>
        <v>2822103</v>
      </c>
      <c r="N99" s="27">
        <f>IF(L99=0,"-    ",M99/L99)</f>
        <v>0.7220522627017841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146349645</v>
      </c>
      <c r="L100" s="25">
        <v>97816105</v>
      </c>
      <c r="M100" s="26">
        <f>K100-L100</f>
        <v>48533540</v>
      </c>
      <c r="N100" s="27">
        <f>IF(L100=0,"-    ",M100/L100)</f>
        <v>0.49617125932380973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153080195</v>
      </c>
      <c r="L101" s="110">
        <f>SUM(L97:L100)</f>
        <v>101724552</v>
      </c>
      <c r="M101" s="111">
        <f>K101-L101</f>
        <v>51355643</v>
      </c>
      <c r="N101" s="112">
        <f>IF(L101=0,"-    ",M101/L101)</f>
        <v>0.5048500287324932</v>
      </c>
    </row>
    <row r="102" spans="2:12" ht="9" customHeight="1">
      <c r="B102" s="80"/>
      <c r="C102" s="299"/>
      <c r="D102" s="300"/>
      <c r="E102" s="300"/>
      <c r="F102" s="300"/>
      <c r="G102" s="300"/>
      <c r="H102" s="81"/>
      <c r="I102" s="82"/>
      <c r="J102" s="82"/>
      <c r="K102" s="82"/>
      <c r="L102" s="82"/>
    </row>
    <row r="103" spans="2:12" ht="15.75">
      <c r="B103" s="80"/>
      <c r="C103" s="275"/>
      <c r="D103" s="276"/>
      <c r="E103" s="276"/>
      <c r="F103" s="276"/>
      <c r="G103" s="276"/>
      <c r="H103" s="83"/>
      <c r="I103" s="82"/>
      <c r="J103" s="82"/>
      <c r="K103" s="82"/>
      <c r="L103" s="82"/>
    </row>
    <row r="104" spans="2:12" ht="15.75">
      <c r="B104" s="80"/>
      <c r="C104" s="275"/>
      <c r="D104" s="276"/>
      <c r="E104" s="276"/>
      <c r="F104" s="276"/>
      <c r="G104" s="276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75"/>
      <c r="D105" s="276"/>
      <c r="E105" s="276"/>
      <c r="F105" s="276"/>
      <c r="G105" s="276"/>
      <c r="H105" s="83"/>
      <c r="I105" s="82"/>
      <c r="J105" s="82"/>
      <c r="K105" s="82"/>
      <c r="L105" s="82"/>
    </row>
    <row r="106" spans="2:12" ht="15.75">
      <c r="B106" s="80"/>
      <c r="C106" s="275"/>
      <c r="D106" s="276"/>
      <c r="E106" s="276"/>
      <c r="F106" s="276"/>
      <c r="G106" s="276"/>
      <c r="H106" s="83"/>
      <c r="I106" s="82"/>
      <c r="J106" s="82"/>
      <c r="K106" s="82"/>
      <c r="L106" s="82"/>
    </row>
    <row r="107" spans="2:12" ht="15.75">
      <c r="B107" s="80"/>
      <c r="C107" s="275"/>
      <c r="D107" s="276"/>
      <c r="E107" s="276"/>
      <c r="F107" s="276"/>
      <c r="G107" s="276"/>
      <c r="H107" s="83"/>
      <c r="I107" s="82"/>
      <c r="J107" s="82"/>
      <c r="K107" s="82"/>
      <c r="L107" s="82"/>
    </row>
    <row r="108" spans="2:12" ht="15.75">
      <c r="B108" s="80"/>
      <c r="C108" s="275"/>
      <c r="D108" s="276"/>
      <c r="E108" s="276"/>
      <c r="F108" s="276"/>
      <c r="G108" s="276"/>
      <c r="H108" s="83"/>
      <c r="I108" s="82"/>
      <c r="J108" s="82"/>
      <c r="K108" s="82"/>
      <c r="L108" s="82"/>
    </row>
    <row r="109" spans="2:12" ht="15.75">
      <c r="B109" s="80"/>
      <c r="C109" s="275"/>
      <c r="D109" s="276"/>
      <c r="E109" s="276"/>
      <c r="F109" s="276"/>
      <c r="G109" s="276"/>
      <c r="H109" s="83"/>
      <c r="I109" s="82"/>
      <c r="J109" s="82"/>
      <c r="K109" s="82"/>
      <c r="L109" s="82"/>
    </row>
    <row r="110" spans="2:12" ht="15.75">
      <c r="B110" s="80"/>
      <c r="C110" s="275"/>
      <c r="D110" s="276"/>
      <c r="E110" s="276"/>
      <c r="F110" s="276"/>
      <c r="G110" s="276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N235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J14" sqref="J14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09" t="s">
        <v>0</v>
      </c>
      <c r="I2" s="309"/>
      <c r="J2" s="309"/>
      <c r="K2" s="309"/>
      <c r="L2" s="310"/>
      <c r="M2" s="303" t="s">
        <v>283</v>
      </c>
      <c r="N2" s="304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07" t="s">
        <v>289</v>
      </c>
      <c r="I3" s="307"/>
      <c r="J3" s="307"/>
      <c r="K3" s="307"/>
      <c r="L3" s="308"/>
      <c r="M3" s="305"/>
      <c r="N3" s="306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89" t="s">
        <v>291</v>
      </c>
      <c r="C5" s="290"/>
      <c r="D5" s="290"/>
      <c r="E5" s="290"/>
      <c r="F5" s="290"/>
      <c r="G5" s="290"/>
      <c r="H5" s="290"/>
      <c r="I5" s="290"/>
      <c r="J5" s="291"/>
      <c r="K5" s="287" t="s">
        <v>295</v>
      </c>
      <c r="L5" s="287" t="s">
        <v>294</v>
      </c>
      <c r="M5" s="285" t="s">
        <v>296</v>
      </c>
      <c r="N5" s="286"/>
    </row>
    <row r="6" spans="2:14" ht="21" customHeight="1">
      <c r="B6" s="292"/>
      <c r="C6" s="293"/>
      <c r="D6" s="293"/>
      <c r="E6" s="293"/>
      <c r="F6" s="293"/>
      <c r="G6" s="293"/>
      <c r="H6" s="293"/>
      <c r="I6" s="293"/>
      <c r="J6" s="294"/>
      <c r="K6" s="288"/>
      <c r="L6" s="288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1">
        <f>K10+K11+SUM(K15:K17)</f>
        <v>600892445</v>
      </c>
      <c r="L9" s="251">
        <f>L10+L11+SUM(L15:L17)</f>
        <v>619614655</v>
      </c>
      <c r="M9" s="121">
        <f>K9-L9</f>
        <v>-18722210</v>
      </c>
      <c r="N9" s="27">
        <f t="shared" si="1"/>
        <v>-0.030215892811637904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154918929</v>
      </c>
      <c r="L10" s="127">
        <v>165849422</v>
      </c>
      <c r="M10" s="36">
        <f t="shared" si="0"/>
        <v>-10930493</v>
      </c>
      <c r="N10" s="37">
        <f t="shared" si="1"/>
        <v>-0.06590612658270223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49">
        <f>SUM(K12:K14)</f>
        <v>35922499</v>
      </c>
      <c r="L11" s="249">
        <f>SUM(L12:L14)</f>
        <v>35922499</v>
      </c>
      <c r="M11" s="36">
        <f t="shared" si="0"/>
        <v>0</v>
      </c>
      <c r="N11" s="37">
        <f t="shared" si="1"/>
        <v>0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42">
        <v>35922499</v>
      </c>
      <c r="L12" s="242">
        <v>35922499</v>
      </c>
      <c r="M12" s="43">
        <f t="shared" si="0"/>
        <v>0</v>
      </c>
      <c r="N12" s="44">
        <f t="shared" si="1"/>
        <v>0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41"/>
      <c r="L13" s="241"/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41"/>
      <c r="L14" s="241"/>
      <c r="M14" s="43">
        <f t="shared" si="0"/>
        <v>0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35">
        <v>390886369</v>
      </c>
      <c r="L15" s="35">
        <v>402076044</v>
      </c>
      <c r="M15" s="36">
        <f t="shared" si="0"/>
        <v>-11189675</v>
      </c>
      <c r="N15" s="37">
        <f t="shared" si="1"/>
        <v>-0.02782974804636707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35">
        <v>9676381</v>
      </c>
      <c r="L16" s="35">
        <v>9123061</v>
      </c>
      <c r="M16" s="36">
        <f t="shared" si="0"/>
        <v>553320</v>
      </c>
      <c r="N16" s="37">
        <f t="shared" si="1"/>
        <v>0.06065069607667865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35">
        <v>9488267</v>
      </c>
      <c r="L17" s="35">
        <v>6643629</v>
      </c>
      <c r="M17" s="36">
        <f t="shared" si="0"/>
        <v>2844638</v>
      </c>
      <c r="N17" s="37">
        <f t="shared" si="1"/>
        <v>0.42817532405858305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4929603</v>
      </c>
      <c r="L18" s="120">
        <v>4671869</v>
      </c>
      <c r="M18" s="121">
        <f t="shared" si="0"/>
        <v>257734</v>
      </c>
      <c r="N18" s="27">
        <f t="shared" si="1"/>
        <v>0.05516721466291114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3298070</v>
      </c>
      <c r="L19" s="120">
        <v>2854570</v>
      </c>
      <c r="M19" s="121">
        <f t="shared" si="0"/>
        <v>443500</v>
      </c>
      <c r="N19" s="27">
        <f t="shared" si="1"/>
        <v>0.1553649060979412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1315290</v>
      </c>
      <c r="L20" s="120">
        <v>0</v>
      </c>
      <c r="M20" s="121">
        <f t="shared" si="0"/>
        <v>1315290</v>
      </c>
      <c r="N20" s="27" t="str">
        <f t="shared" si="1"/>
        <v>-    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-29951828</v>
      </c>
      <c r="L21" s="120">
        <v>-24355050</v>
      </c>
      <c r="M21" s="121">
        <f t="shared" si="0"/>
        <v>-5596778</v>
      </c>
      <c r="N21" s="27">
        <f t="shared" si="1"/>
        <v>0.22979948717001197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120">
        <v>-10270465</v>
      </c>
      <c r="L22" s="120">
        <v>-9681392</v>
      </c>
      <c r="M22" s="121">
        <f t="shared" si="0"/>
        <v>-589073</v>
      </c>
      <c r="N22" s="27">
        <f t="shared" si="1"/>
        <v>0.06084589901947984</v>
      </c>
    </row>
    <row r="23" spans="2:14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92">
        <f>K8+K9+SUM(K18:K22)</f>
        <v>574168983</v>
      </c>
      <c r="L23" s="92">
        <f>L8+L9+SUM(L18:L22)</f>
        <v>597060520</v>
      </c>
      <c r="M23" s="93">
        <f t="shared" si="0"/>
        <v>-22891537</v>
      </c>
      <c r="N23" s="94">
        <f t="shared" si="1"/>
        <v>-0.03834039638058802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8083632</v>
      </c>
      <c r="L26" s="120">
        <v>0</v>
      </c>
      <c r="M26" s="121">
        <f aca="true" t="shared" si="2" ref="M26:M31">K26-L26</f>
        <v>8083632</v>
      </c>
      <c r="N26" s="27" t="str">
        <f aca="true" t="shared" si="3" ref="N26:N31">IF(L26=0,"-    ",M26/L26)</f>
        <v>-    </v>
      </c>
    </row>
    <row r="27" spans="2:14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44437810</v>
      </c>
      <c r="L27" s="120">
        <f>68451198+355752</f>
        <v>68806950</v>
      </c>
      <c r="M27" s="121">
        <f t="shared" si="2"/>
        <v>-24369140</v>
      </c>
      <c r="N27" s="27">
        <f t="shared" si="3"/>
        <v>-0.3541668392509768</v>
      </c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/>
      <c r="L28" s="120"/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17111201</v>
      </c>
      <c r="L29" s="120">
        <v>31918363</v>
      </c>
      <c r="M29" s="121">
        <f t="shared" si="2"/>
        <v>-14807162</v>
      </c>
      <c r="N29" s="27">
        <f t="shared" si="3"/>
        <v>-0.4639073125398066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f>65420348-6820853</f>
        <v>58599495</v>
      </c>
      <c r="L30" s="120">
        <f>80104387-38775</f>
        <v>80065612</v>
      </c>
      <c r="M30" s="121">
        <f t="shared" si="2"/>
        <v>-21466117</v>
      </c>
      <c r="N30" s="27">
        <f t="shared" si="3"/>
        <v>-0.2681065748926018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92">
        <f>SUM(K26:K30)</f>
        <v>128232138</v>
      </c>
      <c r="L31" s="92">
        <f>SUM(L26:L30)</f>
        <v>180790925</v>
      </c>
      <c r="M31" s="93">
        <f t="shared" si="2"/>
        <v>-52558787</v>
      </c>
      <c r="N31" s="94">
        <f t="shared" si="3"/>
        <v>-0.29071584760131075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18828814</v>
      </c>
      <c r="L34" s="120">
        <v>19280988</v>
      </c>
      <c r="M34" s="121">
        <f>K34-L34</f>
        <v>-452174</v>
      </c>
      <c r="N34" s="27">
        <f>IF(L34=0,"-    ",M34/L34)</f>
        <v>-0.023451806515309277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6820853</v>
      </c>
      <c r="L35" s="120">
        <v>0</v>
      </c>
      <c r="M35" s="121">
        <f>K35-L35</f>
        <v>6820853</v>
      </c>
      <c r="N35" s="27" t="str">
        <f>IF(L35=0,"-    ",M35/L35)</f>
        <v>-    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92">
        <f>SUM(K34:K35)</f>
        <v>25649667</v>
      </c>
      <c r="L36" s="92">
        <f>SUM(L34:L35)</f>
        <v>19280988</v>
      </c>
      <c r="M36" s="93">
        <f>K36-L36</f>
        <v>6368679</v>
      </c>
      <c r="N36" s="94">
        <f>IF(L36=0,"-    ",M36/L36)</f>
        <v>0.3303087476637608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311" t="s">
        <v>186</v>
      </c>
      <c r="D38" s="311"/>
      <c r="E38" s="311"/>
      <c r="F38" s="311"/>
      <c r="G38" s="311"/>
      <c r="H38" s="311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8">
        <v>15203457</v>
      </c>
      <c r="J40" s="269">
        <v>127976497</v>
      </c>
      <c r="K40" s="120">
        <f>I40+J40</f>
        <v>143179954</v>
      </c>
      <c r="L40" s="120">
        <v>136009564</v>
      </c>
      <c r="M40" s="121">
        <f aca="true" t="shared" si="4" ref="M40:M54">K40-L40</f>
        <v>7170390</v>
      </c>
      <c r="N40" s="27">
        <f aca="true" t="shared" si="5" ref="N40:N54">IF(L40=0,"-    ",M40/L40)</f>
        <v>0.05271974844357269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/>
      <c r="J41" s="119"/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545835871</v>
      </c>
      <c r="J42" s="119">
        <v>0</v>
      </c>
      <c r="K42" s="120">
        <f>I42+J42</f>
        <v>545835871</v>
      </c>
      <c r="L42" s="120">
        <v>537944935</v>
      </c>
      <c r="M42" s="121">
        <f t="shared" si="4"/>
        <v>7890936</v>
      </c>
      <c r="N42" s="27">
        <f t="shared" si="5"/>
        <v>0.01466866864356665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4235361</v>
      </c>
      <c r="J43" s="119"/>
      <c r="K43" s="120">
        <f>I43+J43</f>
        <v>4235361</v>
      </c>
      <c r="L43" s="120">
        <v>5296712</v>
      </c>
      <c r="M43" s="121">
        <f t="shared" si="4"/>
        <v>-1061351</v>
      </c>
      <c r="N43" s="27">
        <f t="shared" si="5"/>
        <v>-0.2003792163893374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8572388</v>
      </c>
      <c r="J44" s="120">
        <f>SUM(J45:J50)</f>
        <v>0</v>
      </c>
      <c r="K44" s="251">
        <f>SUM(K45:K50)</f>
        <v>8572388</v>
      </c>
      <c r="L44" s="251">
        <f>SUM(L45:L50)</f>
        <v>11317055</v>
      </c>
      <c r="M44" s="121">
        <f t="shared" si="4"/>
        <v>-2744667</v>
      </c>
      <c r="N44" s="27">
        <f t="shared" si="5"/>
        <v>-0.24252484414010536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312" t="s">
        <v>260</v>
      </c>
      <c r="G45" s="313"/>
      <c r="H45" s="314"/>
      <c r="I45" s="243">
        <v>8138218</v>
      </c>
      <c r="J45" s="243">
        <v>0</v>
      </c>
      <c r="K45" s="244">
        <f aca="true" t="shared" si="6" ref="K45:K50">I45+J45</f>
        <v>8138218</v>
      </c>
      <c r="L45" s="244">
        <v>10754188</v>
      </c>
      <c r="M45" s="259">
        <f t="shared" si="4"/>
        <v>-2615970</v>
      </c>
      <c r="N45" s="44">
        <f t="shared" si="5"/>
        <v>-0.24325128033841328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15" t="s">
        <v>223</v>
      </c>
      <c r="G46" s="315"/>
      <c r="H46" s="316"/>
      <c r="I46" s="245"/>
      <c r="J46" s="245"/>
      <c r="K46" s="244">
        <f t="shared" si="6"/>
        <v>0</v>
      </c>
      <c r="L46" s="244">
        <v>0</v>
      </c>
      <c r="M46" s="259">
        <f t="shared" si="4"/>
        <v>0</v>
      </c>
      <c r="N46" s="44" t="str">
        <f t="shared" si="5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15" t="s">
        <v>224</v>
      </c>
      <c r="G47" s="315"/>
      <c r="H47" s="316"/>
      <c r="I47" s="245"/>
      <c r="J47" s="245"/>
      <c r="K47" s="244">
        <f t="shared" si="6"/>
        <v>0</v>
      </c>
      <c r="L47" s="244">
        <v>0</v>
      </c>
      <c r="M47" s="259">
        <f t="shared" si="4"/>
        <v>0</v>
      </c>
      <c r="N47" s="44" t="str">
        <f t="shared" si="5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15" t="s">
        <v>280</v>
      </c>
      <c r="G48" s="315"/>
      <c r="H48" s="316"/>
      <c r="I48" s="245">
        <v>8266</v>
      </c>
      <c r="J48" s="245"/>
      <c r="K48" s="244">
        <f t="shared" si="6"/>
        <v>8266</v>
      </c>
      <c r="L48" s="244">
        <v>205895</v>
      </c>
      <c r="M48" s="260">
        <f>K48-L48</f>
        <v>-197629</v>
      </c>
      <c r="N48" s="258">
        <f>IF(L48=0,"-    ",M48/L48)</f>
        <v>-0.9598533232958547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15" t="s">
        <v>261</v>
      </c>
      <c r="G49" s="313"/>
      <c r="H49" s="314"/>
      <c r="I49" s="245"/>
      <c r="J49" s="245"/>
      <c r="K49" s="244">
        <f t="shared" si="6"/>
        <v>0</v>
      </c>
      <c r="L49" s="244">
        <v>0</v>
      </c>
      <c r="M49" s="259">
        <f t="shared" si="4"/>
        <v>0</v>
      </c>
      <c r="N49" s="44" t="str">
        <f t="shared" si="5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3">
        <v>425904</v>
      </c>
      <c r="J50" s="243">
        <v>0</v>
      </c>
      <c r="K50" s="244">
        <f t="shared" si="6"/>
        <v>425904</v>
      </c>
      <c r="L50" s="244">
        <v>356972</v>
      </c>
      <c r="M50" s="259">
        <f t="shared" si="4"/>
        <v>68932</v>
      </c>
      <c r="N50" s="44">
        <f t="shared" si="5"/>
        <v>0.1931019799872259</v>
      </c>
    </row>
    <row r="51" spans="2:14" s="19" customFormat="1" ht="27" customHeight="1" outlineLevel="1">
      <c r="B51" s="20"/>
      <c r="C51" s="30"/>
      <c r="D51" s="117" t="s">
        <v>22</v>
      </c>
      <c r="E51" s="297" t="s">
        <v>212</v>
      </c>
      <c r="F51" s="297"/>
      <c r="G51" s="297"/>
      <c r="H51" s="298"/>
      <c r="I51" s="119">
        <v>11810554</v>
      </c>
      <c r="J51" s="119"/>
      <c r="K51" s="120">
        <f aca="true" t="shared" si="7" ref="K51:K57">I51+J51</f>
        <v>11810554</v>
      </c>
      <c r="L51" s="120">
        <v>14685444</v>
      </c>
      <c r="M51" s="121">
        <f t="shared" si="4"/>
        <v>-2874890</v>
      </c>
      <c r="N51" s="27">
        <f t="shared" si="5"/>
        <v>-0.19576459520052644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301380848</v>
      </c>
      <c r="J52" s="119">
        <v>0</v>
      </c>
      <c r="K52" s="120">
        <f t="shared" si="7"/>
        <v>301380848</v>
      </c>
      <c r="L52" s="120">
        <v>359999261</v>
      </c>
      <c r="M52" s="121">
        <f t="shared" si="4"/>
        <v>-58618413</v>
      </c>
      <c r="N52" s="27">
        <f t="shared" si="5"/>
        <v>-0.16282925925228497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28144895</v>
      </c>
      <c r="J53" s="119"/>
      <c r="K53" s="120">
        <f t="shared" si="7"/>
        <v>28144895</v>
      </c>
      <c r="L53" s="120">
        <v>0</v>
      </c>
      <c r="M53" s="121">
        <f t="shared" si="4"/>
        <v>28144895</v>
      </c>
      <c r="N53" s="27" t="str">
        <f t="shared" si="5"/>
        <v>-    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45430579</v>
      </c>
      <c r="J54" s="119">
        <v>0</v>
      </c>
      <c r="K54" s="120">
        <f t="shared" si="7"/>
        <v>45430579</v>
      </c>
      <c r="L54" s="120">
        <v>46191803</v>
      </c>
      <c r="M54" s="121">
        <f t="shared" si="4"/>
        <v>-761224</v>
      </c>
      <c r="N54" s="27">
        <f t="shared" si="5"/>
        <v>-0.016479633843260025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/>
      <c r="J55" s="119"/>
      <c r="K55" s="120">
        <f t="shared" si="7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6" t="s">
        <v>165</v>
      </c>
      <c r="E56" s="22" t="s">
        <v>93</v>
      </c>
      <c r="F56" s="22"/>
      <c r="G56" s="22"/>
      <c r="H56" s="136"/>
      <c r="I56" s="119">
        <v>36623252</v>
      </c>
      <c r="J56" s="119">
        <v>0</v>
      </c>
      <c r="K56" s="120">
        <f t="shared" si="7"/>
        <v>36623252</v>
      </c>
      <c r="L56" s="120">
        <v>40824490</v>
      </c>
      <c r="M56" s="121">
        <f>K56-L56</f>
        <v>-4201238</v>
      </c>
      <c r="N56" s="27">
        <f>IF(L56=0,"-    ",M56/L56)</f>
        <v>-0.10290974853574411</v>
      </c>
    </row>
    <row r="57" spans="2:14" s="1" customFormat="1" ht="27" customHeight="1">
      <c r="B57" s="28"/>
      <c r="C57" s="30"/>
      <c r="D57" s="247" t="s">
        <v>166</v>
      </c>
      <c r="E57" s="140" t="s">
        <v>263</v>
      </c>
      <c r="F57" s="140"/>
      <c r="G57" s="139"/>
      <c r="H57" s="141"/>
      <c r="I57" s="24">
        <v>116363207</v>
      </c>
      <c r="J57" s="34">
        <v>0</v>
      </c>
      <c r="K57" s="120">
        <f t="shared" si="7"/>
        <v>116363207</v>
      </c>
      <c r="L57" s="120">
        <v>65183196</v>
      </c>
      <c r="M57" s="26">
        <f>K57-L57</f>
        <v>51180011</v>
      </c>
      <c r="N57" s="27">
        <f>IF(L57=0,"-    ",M57/L57)</f>
        <v>0.7851718562557135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1113600412</v>
      </c>
      <c r="J58" s="92">
        <f>SUM(J40:J44)+SUM(J51:J57)</f>
        <v>127976497</v>
      </c>
      <c r="K58" s="92">
        <f>SUM(K40:K44)+SUM(K51:K57)</f>
        <v>1241576909</v>
      </c>
      <c r="L58" s="92">
        <f>SUM(L40:L44)+SUM(L51:L57)</f>
        <v>1217452460</v>
      </c>
      <c r="M58" s="93">
        <f>K58-L58</f>
        <v>24124449</v>
      </c>
      <c r="N58" s="94">
        <f>IF(L58=0,"-    ",M58/L58)</f>
        <v>0.019815516246112806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35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5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5">
        <v>0</v>
      </c>
      <c r="L61" s="25">
        <v>148958</v>
      </c>
      <c r="M61" s="26">
        <f>K61-L61</f>
        <v>-148958</v>
      </c>
      <c r="N61" s="27">
        <f>IF(L61=0,"-    ",M61/L61)</f>
        <v>-1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5">
        <v>532986</v>
      </c>
      <c r="L62" s="25">
        <f>617384+38775</f>
        <v>656159</v>
      </c>
      <c r="M62" s="26">
        <f>K62-L62</f>
        <v>-123173</v>
      </c>
      <c r="N62" s="27">
        <f>IF(L62=0,"-    ",M62/L62)</f>
        <v>-0.18771822073613256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92">
        <f>SUM(K61:K62)</f>
        <v>532986</v>
      </c>
      <c r="L63" s="92">
        <f>SUM(L61:L62)</f>
        <v>805117</v>
      </c>
      <c r="M63" s="93">
        <f>K63-L63</f>
        <v>-272131</v>
      </c>
      <c r="N63" s="94">
        <f>IF(L63=0,"-    ",M63/L63)</f>
        <v>-0.3380018059487006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35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102">
        <f>K23+K31+K36+K58+K63</f>
        <v>1970160683</v>
      </c>
      <c r="L65" s="102">
        <f>L23+L31+L36+L58+L63</f>
        <v>2015390010</v>
      </c>
      <c r="M65" s="103">
        <f>K65-L65</f>
        <v>-45229327</v>
      </c>
      <c r="N65" s="104">
        <f>IF(L65=0,"-    ",M65/L65)</f>
        <v>-0.02244197241009446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35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5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35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5">
        <v>0</v>
      </c>
      <c r="L69" s="25">
        <v>0</v>
      </c>
      <c r="M69" s="26">
        <f>K69-L69</f>
        <v>0</v>
      </c>
      <c r="N69" s="37" t="str">
        <f>IF(L69=0,"-    ",M69/L69)</f>
        <v>-    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5">
        <v>6730550</v>
      </c>
      <c r="L70" s="25">
        <v>3908447</v>
      </c>
      <c r="M70" s="26">
        <f>K70-L70</f>
        <v>2822103</v>
      </c>
      <c r="N70" s="27">
        <f>IF(L70=0,"-    ",M70/L70)</f>
        <v>0.7220522627017841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5">
        <v>146349645</v>
      </c>
      <c r="L71" s="25">
        <v>97816105</v>
      </c>
      <c r="M71" s="26">
        <f>K71-L71</f>
        <v>48533540</v>
      </c>
      <c r="N71" s="37">
        <f>IF(L71=0,"-    ",M71/L71)</f>
        <v>0.49617125932380973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110">
        <f>SUM(K68:K71)</f>
        <v>153080195</v>
      </c>
      <c r="L72" s="110">
        <f>SUM(L68:L71)</f>
        <v>101724552</v>
      </c>
      <c r="M72" s="111">
        <f>K72-L72</f>
        <v>51355643</v>
      </c>
      <c r="N72" s="112">
        <f>IF(L72=0,"-    ",M72/L72)</f>
        <v>0.5048500287324932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5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E51:H51"/>
    <mergeCell ref="C38:H38"/>
    <mergeCell ref="F45:H45"/>
    <mergeCell ref="F49:H49"/>
    <mergeCell ref="F48:H48"/>
    <mergeCell ref="F46:H46"/>
    <mergeCell ref="F47:H47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1"/>
  <sheetViews>
    <sheetView showGridLine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17" t="s">
        <v>99</v>
      </c>
      <c r="C2" s="318"/>
      <c r="D2" s="318"/>
      <c r="E2" s="318"/>
      <c r="F2" s="318"/>
      <c r="G2" s="318"/>
      <c r="H2" s="318"/>
      <c r="I2" s="318"/>
      <c r="J2" s="321" t="s">
        <v>283</v>
      </c>
      <c r="K2" s="322"/>
    </row>
    <row r="3" spans="2:11" s="146" customFormat="1" ht="21" customHeight="1" thickBot="1">
      <c r="B3" s="319"/>
      <c r="C3" s="320"/>
      <c r="D3" s="320"/>
      <c r="E3" s="320"/>
      <c r="F3" s="320"/>
      <c r="G3" s="320"/>
      <c r="H3" s="320"/>
      <c r="I3" s="320"/>
      <c r="J3" s="323"/>
      <c r="K3" s="324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25" t="s">
        <v>292</v>
      </c>
      <c r="C5" s="326"/>
      <c r="D5" s="326"/>
      <c r="E5" s="326"/>
      <c r="F5" s="326"/>
      <c r="G5" s="327"/>
      <c r="H5" s="287" t="s">
        <v>295</v>
      </c>
      <c r="I5" s="287" t="s">
        <v>294</v>
      </c>
      <c r="J5" s="285" t="s">
        <v>296</v>
      </c>
      <c r="K5" s="286"/>
    </row>
    <row r="6" spans="2:11" ht="21" customHeight="1">
      <c r="B6" s="328"/>
      <c r="C6" s="329"/>
      <c r="D6" s="329"/>
      <c r="E6" s="329"/>
      <c r="F6" s="329"/>
      <c r="G6" s="330"/>
      <c r="H6" s="288"/>
      <c r="I6" s="288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2">
        <f>H9+H10+H17+H22</f>
        <v>2726303067</v>
      </c>
      <c r="I8" s="252">
        <f>I9+I10+I17+I22</f>
        <v>2717487281</v>
      </c>
      <c r="J8" s="162">
        <f aca="true" t="shared" si="0" ref="J8:J106">H8-I8</f>
        <v>8815786</v>
      </c>
      <c r="K8" s="163">
        <f aca="true" t="shared" si="1" ref="K8:K87">IF(I8=0,"-    ",J8/I8)</f>
        <v>0.003244094668496813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270">
        <f>2697020713-969895</f>
        <v>2696050818</v>
      </c>
      <c r="I9" s="270">
        <v>2683939226</v>
      </c>
      <c r="J9" s="271">
        <f t="shared" si="0"/>
        <v>12111592</v>
      </c>
      <c r="K9" s="170">
        <f t="shared" si="1"/>
        <v>0.0045126178278077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3">
        <f>SUM(H11:H16)</f>
        <v>29223308</v>
      </c>
      <c r="I10" s="253">
        <f>SUM(I11:I16)</f>
        <v>32922934</v>
      </c>
      <c r="J10" s="169">
        <f t="shared" si="0"/>
        <v>-3699626</v>
      </c>
      <c r="K10" s="170">
        <f t="shared" si="1"/>
        <v>-0.11237230557884058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72">
        <f>8900695-38775</f>
        <v>8861920</v>
      </c>
      <c r="I11" s="272">
        <v>10466804</v>
      </c>
      <c r="J11" s="264">
        <f>H11-I11</f>
        <v>-1604884</v>
      </c>
      <c r="K11" s="262">
        <f>IF(I11=0,"-    ",J11/I11)</f>
        <v>-0.15333085438496794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6">
        <v>0</v>
      </c>
      <c r="I12" s="266">
        <v>0</v>
      </c>
      <c r="J12" s="264">
        <f>H12-I12</f>
        <v>0</v>
      </c>
      <c r="K12" s="262" t="str">
        <f>IF(I12=0,"-    ",J12/I12)</f>
        <v>-    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6">
        <v>4914973</v>
      </c>
      <c r="I13" s="266">
        <v>0</v>
      </c>
      <c r="J13" s="261">
        <f>H13-I13</f>
        <v>4914973</v>
      </c>
      <c r="K13" s="262" t="str">
        <f>IF(I13=0,"-    ",J13/I13)</f>
        <v>-    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72">
        <v>1874427</v>
      </c>
      <c r="I14" s="272">
        <v>2234472</v>
      </c>
      <c r="J14" s="264">
        <f>H14-I14</f>
        <v>-360045</v>
      </c>
      <c r="K14" s="263">
        <f>IF(I14=0,"-    ",J14/I14)</f>
        <v>-0.16113202582086505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72">
        <v>14000</v>
      </c>
      <c r="I15" s="272">
        <v>143000</v>
      </c>
      <c r="J15" s="264">
        <f t="shared" si="0"/>
        <v>-129000</v>
      </c>
      <c r="K15" s="263">
        <f t="shared" si="1"/>
        <v>-0.9020979020979021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72">
        <v>13557988</v>
      </c>
      <c r="I16" s="272">
        <v>20078658</v>
      </c>
      <c r="J16" s="264">
        <f>H16-I16</f>
        <v>-6520670</v>
      </c>
      <c r="K16" s="262">
        <f>IF(I16=0,"-    ",J16/I16)</f>
        <v>-0.3247562660811295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3">
        <f>SUM(H18:H21)</f>
        <v>50033</v>
      </c>
      <c r="I17" s="253">
        <f>SUM(I18:I21)</f>
        <v>0</v>
      </c>
      <c r="J17" s="271">
        <f t="shared" si="0"/>
        <v>50033</v>
      </c>
      <c r="K17" s="170" t="str">
        <f t="shared" si="1"/>
        <v>-    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/>
      <c r="I18" s="168"/>
      <c r="J18" s="261">
        <f t="shared" si="0"/>
        <v>0</v>
      </c>
      <c r="K18" s="262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/>
      <c r="I19" s="168"/>
      <c r="J19" s="261">
        <f t="shared" si="0"/>
        <v>0</v>
      </c>
      <c r="K19" s="262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0</v>
      </c>
      <c r="I20" s="168">
        <v>0</v>
      </c>
      <c r="J20" s="261">
        <f t="shared" si="0"/>
        <v>0</v>
      </c>
      <c r="K20" s="170" t="str">
        <f t="shared" si="1"/>
        <v>-    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50033</v>
      </c>
      <c r="I21" s="168">
        <v>0</v>
      </c>
      <c r="J21" s="261">
        <f t="shared" si="0"/>
        <v>50033</v>
      </c>
      <c r="K21" s="170" t="str">
        <f t="shared" si="1"/>
        <v>-    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270">
        <v>978908</v>
      </c>
      <c r="I22" s="270">
        <v>625121</v>
      </c>
      <c r="J22" s="169">
        <f t="shared" si="0"/>
        <v>353787</v>
      </c>
      <c r="K22" s="170">
        <f t="shared" si="1"/>
        <v>0.5659496321512155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273">
        <v>-4021755</v>
      </c>
      <c r="I23" s="273">
        <v>-1632199</v>
      </c>
      <c r="J23" s="162">
        <f>H23-I23</f>
        <v>-2389556</v>
      </c>
      <c r="K23" s="163">
        <f>IF(I23=0,"-    ",J23/I23)</f>
        <v>1.4640102095394005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273">
        <v>18839229</v>
      </c>
      <c r="I24" s="273">
        <v>6942010</v>
      </c>
      <c r="J24" s="162">
        <f>H24-I24</f>
        <v>11897219</v>
      </c>
      <c r="K24" s="163">
        <f>IF(I24=0,"-    ",J24/I24)</f>
        <v>1.7138003258422272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2">
        <f>SUM(H26:H28)</f>
        <v>138374659</v>
      </c>
      <c r="I25" s="252">
        <f>SUM(I26:I28)</f>
        <v>136640455</v>
      </c>
      <c r="J25" s="162">
        <f t="shared" si="0"/>
        <v>1734204</v>
      </c>
      <c r="K25" s="163">
        <f t="shared" si="1"/>
        <v>0.012691731742257444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270">
        <v>51135478</v>
      </c>
      <c r="I26" s="270">
        <v>39426257</v>
      </c>
      <c r="J26" s="169">
        <f t="shared" si="0"/>
        <v>11709221</v>
      </c>
      <c r="K26" s="170">
        <f t="shared" si="1"/>
        <v>0.2969904294998128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270">
        <v>19661012</v>
      </c>
      <c r="I27" s="270">
        <v>20079632</v>
      </c>
      <c r="J27" s="169">
        <f t="shared" si="0"/>
        <v>-418620</v>
      </c>
      <c r="K27" s="170">
        <f t="shared" si="1"/>
        <v>-0.020847991636500113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270">
        <v>67578169</v>
      </c>
      <c r="I28" s="270">
        <v>77134566</v>
      </c>
      <c r="J28" s="169">
        <f t="shared" si="0"/>
        <v>-9556397</v>
      </c>
      <c r="K28" s="170">
        <f t="shared" si="1"/>
        <v>-0.12389253606482988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273">
        <f>52940614+969895+38775</f>
        <v>53949284</v>
      </c>
      <c r="I29" s="273">
        <v>48931892</v>
      </c>
      <c r="J29" s="162">
        <f t="shared" si="0"/>
        <v>5017392</v>
      </c>
      <c r="K29" s="163">
        <f t="shared" si="1"/>
        <v>0.10253827912478838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273">
        <v>43565968</v>
      </c>
      <c r="I30" s="273">
        <v>44381211</v>
      </c>
      <c r="J30" s="162">
        <f t="shared" si="0"/>
        <v>-815243</v>
      </c>
      <c r="K30" s="163">
        <f t="shared" si="1"/>
        <v>-0.01836910218605797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273">
        <v>35733394</v>
      </c>
      <c r="I31" s="273">
        <v>41756764</v>
      </c>
      <c r="J31" s="162">
        <f t="shared" si="0"/>
        <v>-6023370</v>
      </c>
      <c r="K31" s="163">
        <f t="shared" si="1"/>
        <v>-0.14424896526943515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/>
      <c r="I32" s="161"/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273">
        <v>22387964</v>
      </c>
      <c r="I33" s="273">
        <f>17136961+2</f>
        <v>17136963</v>
      </c>
      <c r="J33" s="162">
        <f t="shared" si="0"/>
        <v>5251001</v>
      </c>
      <c r="K33" s="163">
        <f t="shared" si="1"/>
        <v>0.3064137443723255</v>
      </c>
    </row>
    <row r="34" spans="2:11" s="156" customFormat="1" ht="27" customHeight="1" outlineLevel="1">
      <c r="B34" s="229"/>
      <c r="C34" s="334" t="s">
        <v>154</v>
      </c>
      <c r="D34" s="334"/>
      <c r="E34" s="334"/>
      <c r="F34" s="334"/>
      <c r="G34" s="335"/>
      <c r="H34" s="230">
        <f>H8+H23+H24+H25+SUM(H29:H33)</f>
        <v>3035131810</v>
      </c>
      <c r="I34" s="230">
        <f>I8+I23+I24+I25+SUM(I29:I33)</f>
        <v>3011644377</v>
      </c>
      <c r="J34" s="231">
        <f>H34-I34</f>
        <v>23487433</v>
      </c>
      <c r="K34" s="232">
        <f t="shared" si="1"/>
        <v>0.007798873326271218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2">
        <f>SUM(H38:H39)</f>
        <v>432213844</v>
      </c>
      <c r="I37" s="252">
        <f>SUM(I38:I39)</f>
        <v>429734026</v>
      </c>
      <c r="J37" s="162">
        <f t="shared" si="0"/>
        <v>2479818</v>
      </c>
      <c r="K37" s="163">
        <f t="shared" si="1"/>
        <v>0.005770587968289018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270">
        <v>424861468</v>
      </c>
      <c r="I38" s="270">
        <v>421677993</v>
      </c>
      <c r="J38" s="169">
        <f t="shared" si="0"/>
        <v>3183475</v>
      </c>
      <c r="K38" s="170">
        <f t="shared" si="1"/>
        <v>0.0075495402957867904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270">
        <v>7352376</v>
      </c>
      <c r="I39" s="270">
        <v>8056033</v>
      </c>
      <c r="J39" s="169">
        <f t="shared" si="0"/>
        <v>-703657</v>
      </c>
      <c r="K39" s="170">
        <f t="shared" si="1"/>
        <v>-0.08734534726955562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2">
        <f>SUM(H41:H57)</f>
        <v>1502069569</v>
      </c>
      <c r="I40" s="252">
        <f>SUM(I41:I57)</f>
        <v>1489029583</v>
      </c>
      <c r="J40" s="162">
        <f t="shared" si="0"/>
        <v>13039986</v>
      </c>
      <c r="K40" s="163">
        <f t="shared" si="1"/>
        <v>0.008757372015220734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270">
        <v>179478277</v>
      </c>
      <c r="I41" s="270">
        <v>179279194</v>
      </c>
      <c r="J41" s="169">
        <f t="shared" si="0"/>
        <v>199083</v>
      </c>
      <c r="K41" s="170">
        <f t="shared" si="1"/>
        <v>0.0011104634930476094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270">
        <v>185985025</v>
      </c>
      <c r="I42" s="270">
        <v>189598735</v>
      </c>
      <c r="J42" s="169">
        <f t="shared" si="0"/>
        <v>-3613710</v>
      </c>
      <c r="K42" s="170">
        <f t="shared" si="1"/>
        <v>-0.0190597790644542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270">
        <v>168471519</v>
      </c>
      <c r="I43" s="270">
        <v>164178119</v>
      </c>
      <c r="J43" s="169">
        <f t="shared" si="0"/>
        <v>4293400</v>
      </c>
      <c r="K43" s="170">
        <f t="shared" si="1"/>
        <v>0.026150866060293942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270">
        <v>53940868</v>
      </c>
      <c r="I44" s="270">
        <v>50492678</v>
      </c>
      <c r="J44" s="169">
        <f t="shared" si="0"/>
        <v>3448190</v>
      </c>
      <c r="K44" s="170">
        <f t="shared" si="1"/>
        <v>0.06829089160214477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270">
        <v>15662199</v>
      </c>
      <c r="I45" s="270">
        <v>18424644</v>
      </c>
      <c r="J45" s="169">
        <f t="shared" si="0"/>
        <v>-2762445</v>
      </c>
      <c r="K45" s="170">
        <f t="shared" si="1"/>
        <v>-0.14993206924378022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270">
        <v>14999125</v>
      </c>
      <c r="I46" s="270">
        <v>14723520</v>
      </c>
      <c r="J46" s="169">
        <f t="shared" si="0"/>
        <v>275605</v>
      </c>
      <c r="K46" s="170">
        <f t="shared" si="1"/>
        <v>0.018718689552498315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270">
        <v>492409727</v>
      </c>
      <c r="I47" s="270">
        <v>489436982</v>
      </c>
      <c r="J47" s="169">
        <f t="shared" si="0"/>
        <v>2972745</v>
      </c>
      <c r="K47" s="170">
        <f t="shared" si="1"/>
        <v>0.006073805432218034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270">
        <v>15719589</v>
      </c>
      <c r="I48" s="270">
        <v>21103976</v>
      </c>
      <c r="J48" s="169">
        <f>H48-I48</f>
        <v>-5384387</v>
      </c>
      <c r="K48" s="170">
        <f>IF(I48=0,"-    ",J48/I48)</f>
        <v>-0.25513614117074435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270">
        <v>75514965</v>
      </c>
      <c r="I49" s="270">
        <v>75513927</v>
      </c>
      <c r="J49" s="169">
        <f>H49-I49</f>
        <v>1038</v>
      </c>
      <c r="K49" s="170">
        <f>IF(I49=0,"-    ",J49/I49)</f>
        <v>1.3745808769818049E-05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270">
        <v>2592525</v>
      </c>
      <c r="I50" s="270">
        <v>2643410</v>
      </c>
      <c r="J50" s="169">
        <f>H50-I50</f>
        <v>-50885</v>
      </c>
      <c r="K50" s="170">
        <f>IF(I50=0,"-    ",J50/I50)</f>
        <v>-0.019249756942736843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270">
        <v>47118921</v>
      </c>
      <c r="I51" s="270">
        <v>41225347</v>
      </c>
      <c r="J51" s="169">
        <f t="shared" si="0"/>
        <v>5893574</v>
      </c>
      <c r="K51" s="170">
        <f t="shared" si="1"/>
        <v>0.14295996101621655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270">
        <v>145121389</v>
      </c>
      <c r="I52" s="270">
        <v>144892112</v>
      </c>
      <c r="J52" s="169">
        <f t="shared" si="0"/>
        <v>229277</v>
      </c>
      <c r="K52" s="170">
        <f t="shared" si="1"/>
        <v>0.0015823980811322566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270">
        <v>13091788</v>
      </c>
      <c r="I53" s="270">
        <v>12837559</v>
      </c>
      <c r="J53" s="169">
        <f>H53-I53</f>
        <v>254229</v>
      </c>
      <c r="K53" s="170">
        <f>IF(I53=0,"-    ",J53/I53)</f>
        <v>0.019803531185328925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270">
        <v>15496516</v>
      </c>
      <c r="I54" s="270">
        <v>15020036</v>
      </c>
      <c r="J54" s="169">
        <f>H54-I54</f>
        <v>476480</v>
      </c>
      <c r="K54" s="170">
        <f>IF(I54=0,"-    ",J54/I54)</f>
        <v>0.031722959918338414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270">
        <v>14964727</v>
      </c>
      <c r="I55" s="270">
        <v>12519859</v>
      </c>
      <c r="J55" s="169">
        <f t="shared" si="0"/>
        <v>2444868</v>
      </c>
      <c r="K55" s="170">
        <f t="shared" si="1"/>
        <v>0.1952791960356742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270">
        <v>61502409</v>
      </c>
      <c r="I56" s="270">
        <v>57139485</v>
      </c>
      <c r="J56" s="169">
        <f aca="true" t="shared" si="2" ref="J56:J62">H56-I56</f>
        <v>4362924</v>
      </c>
      <c r="K56" s="170">
        <f aca="true" t="shared" si="3" ref="K56:K62">IF(I56=0,"-    ",J56/I56)</f>
        <v>0.07635567593932636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/>
      <c r="I57" s="168"/>
      <c r="J57" s="169">
        <f t="shared" si="2"/>
        <v>0</v>
      </c>
      <c r="K57" s="170" t="str">
        <f t="shared" si="3"/>
        <v>-    </v>
      </c>
    </row>
    <row r="58" spans="2:13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2">
        <f>SUM(H59:H62)</f>
        <v>123365332</v>
      </c>
      <c r="I58" s="252">
        <f>SUM(I59:I62)</f>
        <v>120990907</v>
      </c>
      <c r="J58" s="162">
        <f t="shared" si="2"/>
        <v>2374425</v>
      </c>
      <c r="K58" s="163">
        <f t="shared" si="3"/>
        <v>0.019624821888474645</v>
      </c>
      <c r="M58" s="176"/>
    </row>
    <row r="59" spans="2:13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270">
        <v>116586105</v>
      </c>
      <c r="I59" s="270">
        <v>111530958</v>
      </c>
      <c r="J59" s="169">
        <f t="shared" si="2"/>
        <v>5055147</v>
      </c>
      <c r="K59" s="170">
        <f t="shared" si="3"/>
        <v>0.045325056743437994</v>
      </c>
      <c r="M59" s="176"/>
    </row>
    <row r="60" spans="2:13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  <c r="M60" s="176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270">
        <v>5399838</v>
      </c>
      <c r="I61" s="270">
        <v>7172489</v>
      </c>
      <c r="J61" s="169">
        <f t="shared" si="2"/>
        <v>-1772651</v>
      </c>
      <c r="K61" s="170">
        <f t="shared" si="3"/>
        <v>-0.2471458652637878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270">
        <v>1379389</v>
      </c>
      <c r="I62" s="270">
        <v>2287460</v>
      </c>
      <c r="J62" s="169">
        <f t="shared" si="2"/>
        <v>-908071</v>
      </c>
      <c r="K62" s="170">
        <f t="shared" si="3"/>
        <v>-0.3969778706512901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273">
        <v>30918162</v>
      </c>
      <c r="I63" s="273">
        <v>30508763</v>
      </c>
      <c r="J63" s="162">
        <f>H63-I63</f>
        <v>409399</v>
      </c>
      <c r="K63" s="163">
        <f>IF(I63=0,"-    ",J63/I63)</f>
        <v>0.0134190625821178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273">
        <v>66851197</v>
      </c>
      <c r="I64" s="273">
        <v>64803256</v>
      </c>
      <c r="J64" s="162">
        <f t="shared" si="0"/>
        <v>2047941</v>
      </c>
      <c r="K64" s="163">
        <f t="shared" si="1"/>
        <v>0.031602439852713576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2">
        <f>SUM(H66:H70)</f>
        <v>734102359</v>
      </c>
      <c r="I65" s="252">
        <f>SUM(I66:I70)</f>
        <v>716044578</v>
      </c>
      <c r="J65" s="162">
        <f t="shared" si="0"/>
        <v>18057781</v>
      </c>
      <c r="K65" s="163">
        <f t="shared" si="1"/>
        <v>0.025218794408635267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270">
        <v>251101691</v>
      </c>
      <c r="I66" s="270">
        <v>240523953</v>
      </c>
      <c r="J66" s="169">
        <f t="shared" si="0"/>
        <v>10577738</v>
      </c>
      <c r="K66" s="170">
        <f t="shared" si="1"/>
        <v>0.04397789853387284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270">
        <v>23616364</v>
      </c>
      <c r="I67" s="270">
        <v>22534468</v>
      </c>
      <c r="J67" s="169">
        <f t="shared" si="0"/>
        <v>1081896</v>
      </c>
      <c r="K67" s="170">
        <f t="shared" si="1"/>
        <v>0.04801071851352337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270">
        <v>320387758</v>
      </c>
      <c r="I68" s="270">
        <v>315731430</v>
      </c>
      <c r="J68" s="169">
        <f t="shared" si="0"/>
        <v>4656328</v>
      </c>
      <c r="K68" s="170">
        <f t="shared" si="1"/>
        <v>0.014747749376740858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270">
        <v>8349833</v>
      </c>
      <c r="I69" s="270">
        <v>8436203</v>
      </c>
      <c r="J69" s="169">
        <f t="shared" si="0"/>
        <v>-86370</v>
      </c>
      <c r="K69" s="170">
        <f t="shared" si="1"/>
        <v>-0.010238018217437394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270">
        <v>130646713</v>
      </c>
      <c r="I70" s="270">
        <v>128818524</v>
      </c>
      <c r="J70" s="169">
        <f t="shared" si="0"/>
        <v>1828189</v>
      </c>
      <c r="K70" s="170">
        <f t="shared" si="1"/>
        <v>0.014191972887377596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273">
        <v>14805456</v>
      </c>
      <c r="I71" s="273">
        <v>14458321</v>
      </c>
      <c r="J71" s="162">
        <f>H71-I71</f>
        <v>347135</v>
      </c>
      <c r="K71" s="163">
        <f>IF(I71=0,"-    ",J71/I71)</f>
        <v>0.02400935765639731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2">
        <f>SUM(H73:H75)</f>
        <v>57755813</v>
      </c>
      <c r="I72" s="252">
        <f>SUM(I73:I75)</f>
        <v>62042973</v>
      </c>
      <c r="J72" s="162">
        <f t="shared" si="0"/>
        <v>-4287160</v>
      </c>
      <c r="K72" s="163">
        <f t="shared" si="1"/>
        <v>-0.06909984793926623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270">
        <v>1451103</v>
      </c>
      <c r="I73" s="270">
        <v>1746360</v>
      </c>
      <c r="J73" s="169">
        <f t="shared" si="0"/>
        <v>-295257</v>
      </c>
      <c r="K73" s="170">
        <f t="shared" si="1"/>
        <v>-0.16906995121280835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270">
        <v>42519514</v>
      </c>
      <c r="I74" s="270">
        <v>42510320</v>
      </c>
      <c r="J74" s="169">
        <f>H74-I74</f>
        <v>9194</v>
      </c>
      <c r="K74" s="163">
        <f>IF(I74=0,"-    ",J74/I74)</f>
        <v>0.00021627689464581777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270">
        <v>13785196</v>
      </c>
      <c r="I75" s="270">
        <v>17786293</v>
      </c>
      <c r="J75" s="169">
        <f>H75-I75</f>
        <v>-4001097</v>
      </c>
      <c r="K75" s="163">
        <f>IF(I75=0,"-    ",J75/I75)</f>
        <v>-0.22495395752223354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0</v>
      </c>
      <c r="I76" s="161">
        <v>0</v>
      </c>
      <c r="J76" s="162">
        <f t="shared" si="0"/>
        <v>0</v>
      </c>
      <c r="K76" s="163" t="str">
        <f t="shared" si="1"/>
        <v>-    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2">
        <f>SUM(H78:H79)</f>
        <v>-2842329</v>
      </c>
      <c r="I77" s="252">
        <f>SUM(I78:I79)</f>
        <v>-2033454</v>
      </c>
      <c r="J77" s="162">
        <f t="shared" si="0"/>
        <v>-808875</v>
      </c>
      <c r="K77" s="163">
        <f t="shared" si="1"/>
        <v>0.3977837708647454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270">
        <v>-3030925</v>
      </c>
      <c r="I78" s="270">
        <v>-1967632</v>
      </c>
      <c r="J78" s="169">
        <f t="shared" si="0"/>
        <v>-1063293</v>
      </c>
      <c r="K78" s="170">
        <f t="shared" si="1"/>
        <v>0.5403922074859526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270">
        <v>188596</v>
      </c>
      <c r="I79" s="270">
        <v>-65822</v>
      </c>
      <c r="J79" s="169">
        <f t="shared" si="0"/>
        <v>254418</v>
      </c>
      <c r="K79" s="170">
        <f t="shared" si="1"/>
        <v>-3.8652426240466715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2">
        <f>SUM(H81:H84)</f>
        <v>24494506</v>
      </c>
      <c r="I80" s="252">
        <f>SUM(I81:I84)</f>
        <v>43221995</v>
      </c>
      <c r="J80" s="162">
        <f t="shared" si="0"/>
        <v>-18727489</v>
      </c>
      <c r="K80" s="163">
        <f t="shared" si="1"/>
        <v>-0.4332860850129662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270">
        <v>1349069</v>
      </c>
      <c r="I81" s="270">
        <v>10859928</v>
      </c>
      <c r="J81" s="169">
        <f t="shared" si="0"/>
        <v>-9510859</v>
      </c>
      <c r="K81" s="170">
        <f t="shared" si="1"/>
        <v>-0.8757755115871855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270">
        <v>1532881</v>
      </c>
      <c r="I82" s="270">
        <v>1518159</v>
      </c>
      <c r="J82" s="169">
        <f t="shared" si="0"/>
        <v>14722</v>
      </c>
      <c r="K82" s="170">
        <f t="shared" si="1"/>
        <v>0.009697271497912933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270">
        <v>4032067</v>
      </c>
      <c r="I83" s="270">
        <v>10880028</v>
      </c>
      <c r="J83" s="169">
        <f t="shared" si="0"/>
        <v>-6847961</v>
      </c>
      <c r="K83" s="170">
        <f t="shared" si="1"/>
        <v>-0.6294065603507638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270">
        <v>17580489</v>
      </c>
      <c r="I84" s="270">
        <f>20002655-38775</f>
        <v>19963880</v>
      </c>
      <c r="J84" s="169">
        <f t="shared" si="0"/>
        <v>-2383391</v>
      </c>
      <c r="K84" s="170">
        <f t="shared" si="1"/>
        <v>-0.11938515959823441</v>
      </c>
    </row>
    <row r="85" spans="2:11" s="156" customFormat="1" ht="27" customHeight="1" outlineLevel="1">
      <c r="B85" s="229"/>
      <c r="C85" s="334" t="s">
        <v>153</v>
      </c>
      <c r="D85" s="334"/>
      <c r="E85" s="334"/>
      <c r="F85" s="334"/>
      <c r="G85" s="335"/>
      <c r="H85" s="230">
        <f>H37+H40+H58+H63+H64+H65+H71+H72+H76+H77+H80</f>
        <v>2983733909</v>
      </c>
      <c r="I85" s="230">
        <f>I37+I40+I58+I63+I64+I65+I71+I72+I76+I77+I80</f>
        <v>2968800948</v>
      </c>
      <c r="J85" s="231">
        <f t="shared" si="0"/>
        <v>14932961</v>
      </c>
      <c r="K85" s="232">
        <f t="shared" si="1"/>
        <v>0.005029963699674755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31" t="s">
        <v>145</v>
      </c>
      <c r="C87" s="332"/>
      <c r="D87" s="332"/>
      <c r="E87" s="332"/>
      <c r="F87" s="332"/>
      <c r="G87" s="333"/>
      <c r="H87" s="233">
        <f>H34-H85</f>
        <v>51397901</v>
      </c>
      <c r="I87" s="233">
        <f>I34-I85</f>
        <v>42843429</v>
      </c>
      <c r="J87" s="234">
        <f t="shared" si="0"/>
        <v>8554472</v>
      </c>
      <c r="K87" s="235">
        <f t="shared" si="1"/>
        <v>0.1996682385063063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273">
        <v>1523</v>
      </c>
      <c r="I90" s="273">
        <v>308283</v>
      </c>
      <c r="J90" s="162">
        <f t="shared" si="0"/>
        <v>-306760</v>
      </c>
      <c r="K90" s="163">
        <f>IF(I90=0,"-    ",J90/I90)</f>
        <v>-0.9950597340755085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273">
        <v>3496123</v>
      </c>
      <c r="I91" s="273">
        <v>3663818</v>
      </c>
      <c r="J91" s="162">
        <f t="shared" si="0"/>
        <v>-167695</v>
      </c>
      <c r="K91" s="163">
        <f>IF(I91=0,"-    ",J91/I91)</f>
        <v>-0.04577055956382113</v>
      </c>
    </row>
    <row r="92" spans="2:11" s="156" customFormat="1" ht="27" customHeight="1" outlineLevel="1">
      <c r="B92" s="229"/>
      <c r="C92" s="334" t="s">
        <v>152</v>
      </c>
      <c r="D92" s="334"/>
      <c r="E92" s="334"/>
      <c r="F92" s="334"/>
      <c r="G92" s="335"/>
      <c r="H92" s="230">
        <f>+H90-H91</f>
        <v>-3494600</v>
      </c>
      <c r="I92" s="230">
        <f>+I90-I91</f>
        <v>-3355535</v>
      </c>
      <c r="J92" s="231">
        <f t="shared" si="0"/>
        <v>-139065</v>
      </c>
      <c r="K92" s="232">
        <f>IF(I92=0,"-    ",J92/I92)</f>
        <v>0.04144346579606531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273">
        <v>0</v>
      </c>
      <c r="I95" s="273">
        <v>105</v>
      </c>
      <c r="J95" s="162">
        <f t="shared" si="0"/>
        <v>-105</v>
      </c>
      <c r="K95" s="163">
        <f>IF(I95=0,"-    ",J95/I95)</f>
        <v>-1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0</v>
      </c>
      <c r="I96" s="161">
        <v>0</v>
      </c>
      <c r="J96" s="162">
        <f t="shared" si="0"/>
        <v>0</v>
      </c>
      <c r="K96" s="163" t="str">
        <f>IF(I96=0,"-    ",J96/I96)</f>
        <v>-    </v>
      </c>
    </row>
    <row r="97" spans="2:11" s="156" customFormat="1" ht="27" customHeight="1" outlineLevel="1">
      <c r="B97" s="229"/>
      <c r="C97" s="334" t="s">
        <v>151</v>
      </c>
      <c r="D97" s="334"/>
      <c r="E97" s="334"/>
      <c r="F97" s="334"/>
      <c r="G97" s="335"/>
      <c r="H97" s="230">
        <f>H95-H96</f>
        <v>0</v>
      </c>
      <c r="I97" s="230">
        <f>I95-I96</f>
        <v>105</v>
      </c>
      <c r="J97" s="231">
        <f t="shared" si="0"/>
        <v>-105</v>
      </c>
      <c r="K97" s="232">
        <f>IF(I97=0,"-    ",J97/I97)</f>
        <v>-1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2">
        <f>SUM(H101:H102)</f>
        <v>22869839</v>
      </c>
      <c r="I100" s="252">
        <f>SUM(I101:I102)</f>
        <v>26603991</v>
      </c>
      <c r="J100" s="162">
        <f aca="true" t="shared" si="4" ref="J100:J105">H100-I100</f>
        <v>-3734152</v>
      </c>
      <c r="K100" s="163">
        <f aca="true" t="shared" si="5" ref="K100:K105">IF(I100=0,"-    ",J100/I100)</f>
        <v>-0.14036059476940885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0</v>
      </c>
      <c r="I101" s="168">
        <v>0</v>
      </c>
      <c r="J101" s="169">
        <f t="shared" si="4"/>
        <v>0</v>
      </c>
      <c r="K101" s="170" t="str">
        <f t="shared" si="5"/>
        <v>-    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270">
        <v>22869839</v>
      </c>
      <c r="I102" s="270">
        <f>26642766-38775</f>
        <v>26603991</v>
      </c>
      <c r="J102" s="169">
        <f t="shared" si="4"/>
        <v>-3734152</v>
      </c>
      <c r="K102" s="170">
        <f t="shared" si="5"/>
        <v>-0.14036059476940885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2">
        <f>SUM(H104:H105)</f>
        <v>29067264</v>
      </c>
      <c r="I103" s="252">
        <f>SUM(I104:I105)</f>
        <v>22512899</v>
      </c>
      <c r="J103" s="162">
        <f t="shared" si="4"/>
        <v>6554365</v>
      </c>
      <c r="K103" s="163">
        <f t="shared" si="5"/>
        <v>0.29113820481316066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270">
        <v>1762494</v>
      </c>
      <c r="I104" s="270">
        <v>5197948</v>
      </c>
      <c r="J104" s="169">
        <f t="shared" si="4"/>
        <v>-3435454</v>
      </c>
      <c r="K104" s="170">
        <f t="shared" si="5"/>
        <v>-0.6609250419588653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270">
        <v>27304770</v>
      </c>
      <c r="I105" s="270">
        <v>17314951</v>
      </c>
      <c r="J105" s="169">
        <f t="shared" si="4"/>
        <v>9989819</v>
      </c>
      <c r="K105" s="170">
        <f t="shared" si="5"/>
        <v>0.5769475755374647</v>
      </c>
    </row>
    <row r="106" spans="2:11" s="156" customFormat="1" ht="27" customHeight="1" outlineLevel="1">
      <c r="B106" s="229"/>
      <c r="C106" s="334" t="s">
        <v>150</v>
      </c>
      <c r="D106" s="334"/>
      <c r="E106" s="334"/>
      <c r="F106" s="334"/>
      <c r="G106" s="335"/>
      <c r="H106" s="230">
        <f>H100-H103</f>
        <v>-6197425</v>
      </c>
      <c r="I106" s="230">
        <f>I100-I103</f>
        <v>4091092</v>
      </c>
      <c r="J106" s="231">
        <f t="shared" si="0"/>
        <v>-10288517</v>
      </c>
      <c r="K106" s="232">
        <f>IF(I106=0,"-    ",J106/I106)</f>
        <v>-2.5148583801097604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31" t="s">
        <v>146</v>
      </c>
      <c r="C108" s="332"/>
      <c r="D108" s="332"/>
      <c r="E108" s="332"/>
      <c r="F108" s="332"/>
      <c r="G108" s="333"/>
      <c r="H108" s="233">
        <f>H87+H92+H97+H106</f>
        <v>41705876</v>
      </c>
      <c r="I108" s="233">
        <f>I87+I92+I97+I106</f>
        <v>43579091</v>
      </c>
      <c r="J108" s="234">
        <f>H108-I108</f>
        <v>-1873215</v>
      </c>
      <c r="K108" s="235">
        <f>IF(I108=0,"-    ",J108/I108)</f>
        <v>-0.042984260502358804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2">
        <f>SUM(H112:H115)</f>
        <v>50275270</v>
      </c>
      <c r="I111" s="252">
        <f>SUM(I112:I115)</f>
        <v>51310985</v>
      </c>
      <c r="J111" s="162">
        <f aca="true" t="shared" si="6" ref="J111:J118">H111-I111</f>
        <v>-1035715</v>
      </c>
      <c r="K111" s="163">
        <f aca="true" t="shared" si="7" ref="K111:K118">IF(I111=0,"-    ",J111/I111)</f>
        <v>-0.020185053941178484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270">
        <v>45883320</v>
      </c>
      <c r="I112" s="270">
        <v>47081865</v>
      </c>
      <c r="J112" s="169">
        <f t="shared" si="6"/>
        <v>-1198545</v>
      </c>
      <c r="K112" s="170">
        <f t="shared" si="7"/>
        <v>-0.025456616894849005</v>
      </c>
    </row>
    <row r="113" spans="2:13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270">
        <v>2704180</v>
      </c>
      <c r="I113" s="270">
        <v>2949901</v>
      </c>
      <c r="J113" s="169">
        <f t="shared" si="6"/>
        <v>-245721</v>
      </c>
      <c r="K113" s="170">
        <f t="shared" si="7"/>
        <v>-0.08329804966336159</v>
      </c>
      <c r="M113" s="176"/>
    </row>
    <row r="114" spans="2:13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270">
        <v>1614220</v>
      </c>
      <c r="I114" s="270">
        <v>1248036</v>
      </c>
      <c r="J114" s="169">
        <f t="shared" si="6"/>
        <v>366184</v>
      </c>
      <c r="K114" s="170">
        <f t="shared" si="7"/>
        <v>0.2934082029685041</v>
      </c>
      <c r="M114" s="176"/>
    </row>
    <row r="115" spans="2:13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270">
        <v>73550</v>
      </c>
      <c r="I115" s="270">
        <v>31183</v>
      </c>
      <c r="J115" s="169">
        <f t="shared" si="6"/>
        <v>42367</v>
      </c>
      <c r="K115" s="170">
        <f t="shared" si="7"/>
        <v>1.358656960523362</v>
      </c>
      <c r="M115" s="176"/>
    </row>
    <row r="116" spans="2:13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273">
        <v>1701071</v>
      </c>
      <c r="I116" s="273">
        <v>1949498</v>
      </c>
      <c r="J116" s="162">
        <f t="shared" si="6"/>
        <v>-248427</v>
      </c>
      <c r="K116" s="163">
        <f t="shared" si="7"/>
        <v>-0.12743126692102275</v>
      </c>
      <c r="M116" s="336"/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/>
      <c r="I117" s="161"/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34" t="s">
        <v>149</v>
      </c>
      <c r="D118" s="334"/>
      <c r="E118" s="334"/>
      <c r="F118" s="334"/>
      <c r="G118" s="335"/>
      <c r="H118" s="230">
        <f>H111+H116+H117</f>
        <v>51976341</v>
      </c>
      <c r="I118" s="230">
        <f>I111+I116+I117</f>
        <v>53260483</v>
      </c>
      <c r="J118" s="231">
        <f t="shared" si="6"/>
        <v>-1284142</v>
      </c>
      <c r="K118" s="232">
        <f t="shared" si="7"/>
        <v>-0.024110596218213043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-10270465</v>
      </c>
      <c r="I120" s="161">
        <f>I108-I118</f>
        <v>-9681392</v>
      </c>
      <c r="J120" s="162">
        <f>H120-I120</f>
        <v>-589073</v>
      </c>
      <c r="K120" s="163">
        <f>IF(I120=0,"-    ",J120/I120)</f>
        <v>0.06084589901947984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7"/>
      <c r="I124" s="267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149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149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108:G108"/>
    <mergeCell ref="C118:G118"/>
    <mergeCell ref="C34:G34"/>
    <mergeCell ref="C85:G85"/>
    <mergeCell ref="B87:G87"/>
    <mergeCell ref="C92:G92"/>
    <mergeCell ref="C97:G97"/>
    <mergeCell ref="C106:G106"/>
    <mergeCell ref="B2:I3"/>
    <mergeCell ref="J2:K3"/>
    <mergeCell ref="B5:G6"/>
    <mergeCell ref="H5:H6"/>
    <mergeCell ref="I5:I6"/>
    <mergeCell ref="J5:K5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Massimiliano Vannini</cp:lastModifiedBy>
  <cp:lastPrinted>2020-10-06T07:13:42Z</cp:lastPrinted>
  <dcterms:created xsi:type="dcterms:W3CDTF">2011-12-14T14:52:49Z</dcterms:created>
  <dcterms:modified xsi:type="dcterms:W3CDTF">2021-01-13T07:02:31Z</dcterms:modified>
  <cp:category/>
  <cp:version/>
  <cp:contentType/>
  <cp:contentStatus/>
</cp:coreProperties>
</file>